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xl/customProperty4.bin" ContentType="application/vnd.openxmlformats-officedocument.spreadsheetml.customProperty"/>
  <Override PartName="/xl/drawings/drawing4.xml" ContentType="application/vnd.openxmlformats-officedocument.drawing+xml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V:\Elizabeth\EOP\2022\Bayer-EnVu\"/>
    </mc:Choice>
  </mc:AlternateContent>
  <xr:revisionPtr revIDLastSave="0" documentId="8_{DCE4D7FA-DC35-4A6E-9053-B6F998B7759B}" xr6:coauthVersionLast="47" xr6:coauthVersionMax="47" xr10:uidLastSave="{00000000-0000-0000-0000-000000000000}"/>
  <workbookProtection workbookAlgorithmName="SHA-512" workbookHashValue="LPKrsxnjN3SsJ45q1Z3tEGxhym87HKIU44vlQ4cuw6H/G/ugNWz2bVgdYh2nePXkH/mh1EI3rZwoIc54dAwpRQ==" workbookSaltValue="dtbD0T1uWHHOngfGrStR0g==" workbookSpinCount="100000" lockStructure="1"/>
  <bookViews>
    <workbookView xWindow="-120" yWindow="-120" windowWidth="29040" windowHeight="15840" tabRatio="561" xr2:uid="{47E820C8-F8DF-412E-8B73-FB77A2B9CF60}"/>
  </bookViews>
  <sheets>
    <sheet name="FALL-CALCULATOR" sheetId="1" r:id="rId1"/>
    <sheet name="PRINT YOUR ORDER" sheetId="3" r:id="rId2"/>
    <sheet name="NATIONAL GOLF FLYER" sheetId="4" r:id="rId3"/>
    <sheet name="NATIONAL LAWN FLYER" sheetId="5" r:id="rId4"/>
    <sheet name="Rebates" sheetId="2" state="hidden" r:id="rId5"/>
    <sheet name="QUICK REFERENCE" sheetId="6" r:id="rId6"/>
  </sheets>
  <definedNames>
    <definedName name="California_Header">#REF!</definedName>
    <definedName name="California_ProductForm">#REF!</definedName>
    <definedName name="California_Summary">#REF!</definedName>
    <definedName name="GraduatedRebate" localSheetId="4">Rebates!$F$4:$K$10</definedName>
    <definedName name="National_Header">'FALL-CALCULATOR'!$B$3:$E$8</definedName>
    <definedName name="National_ProductForm">'FALL-CALCULATOR'!$B$15:$AI$64</definedName>
    <definedName name="National_Summary">'FALL-CALCULATOR'!$B$66:$F$80</definedName>
    <definedName name="NYNassauSuffolk_Header">#REF!</definedName>
    <definedName name="NYNassauSuffolk_ProductForm">#REF!</definedName>
    <definedName name="NYNassauSuffolk_Summary">#REF!</definedName>
    <definedName name="PluginStatus" localSheetId="4">Rebates!$B$4:$D$14</definedName>
    <definedName name="TotalPurchase" localSheetId="4">Rebates!$M$4:$P$9</definedName>
    <definedName name="Washington_Header">#REF!</definedName>
    <definedName name="Washington_ProductForm">#REF!</definedName>
    <definedName name="Washington_Summary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56" i="1" l="1"/>
  <c r="C15" i="3"/>
  <c r="T21" i="1"/>
  <c r="AH21" i="1"/>
  <c r="H21" i="1"/>
  <c r="J21" i="1"/>
  <c r="E15" i="3" s="1"/>
  <c r="D9" i="1" l="1"/>
  <c r="H40" i="1"/>
  <c r="H39" i="1"/>
  <c r="H38" i="1"/>
  <c r="AP51" i="1"/>
  <c r="T19" i="1" l="1"/>
  <c r="T35" i="1"/>
  <c r="T48" i="1"/>
  <c r="T47" i="1"/>
  <c r="T30" i="1"/>
  <c r="T29" i="1"/>
  <c r="AD48" i="1"/>
  <c r="Q53" i="1" l="1"/>
  <c r="AH63" i="1"/>
  <c r="AH62" i="1"/>
  <c r="AH61" i="1"/>
  <c r="AH60" i="1"/>
  <c r="AH59" i="1"/>
  <c r="AH58" i="1"/>
  <c r="AH57" i="1"/>
  <c r="AH56" i="1"/>
  <c r="AH55" i="1"/>
  <c r="AH54" i="1"/>
  <c r="AH53" i="1"/>
  <c r="AH50" i="1"/>
  <c r="P54" i="1" l="1"/>
  <c r="P57" i="1"/>
  <c r="P59" i="1"/>
  <c r="P60" i="1"/>
  <c r="P62" i="1"/>
  <c r="I54" i="2" l="1"/>
  <c r="J40" i="1"/>
  <c r="J39" i="1"/>
  <c r="J38" i="1"/>
  <c r="J35" i="1"/>
  <c r="K35" i="2"/>
  <c r="V35" i="1"/>
  <c r="K35" i="1" l="1"/>
  <c r="AP50" i="1" l="1"/>
  <c r="U48" i="1"/>
  <c r="U47" i="1"/>
  <c r="U40" i="1" l="1"/>
  <c r="U39" i="1"/>
  <c r="U38" i="1"/>
  <c r="U35" i="1"/>
  <c r="U30" i="1"/>
  <c r="U29" i="1"/>
  <c r="U54" i="1"/>
  <c r="U62" i="1"/>
  <c r="E29" i="3"/>
  <c r="E32" i="3"/>
  <c r="E33" i="3"/>
  <c r="E34" i="3"/>
  <c r="D61" i="3" l="1"/>
  <c r="D60" i="3"/>
  <c r="D59" i="3"/>
  <c r="D58" i="3"/>
  <c r="D57" i="3"/>
  <c r="D56" i="3"/>
  <c r="D55" i="3"/>
  <c r="D54" i="3"/>
  <c r="D53" i="3"/>
  <c r="D52" i="3"/>
  <c r="D51" i="3"/>
  <c r="C61" i="3"/>
  <c r="C60" i="3"/>
  <c r="C59" i="3"/>
  <c r="C58" i="3"/>
  <c r="C57" i="3"/>
  <c r="C56" i="3"/>
  <c r="C55" i="3"/>
  <c r="C54" i="3"/>
  <c r="C53" i="3"/>
  <c r="C52" i="3"/>
  <c r="C51" i="3"/>
  <c r="C14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13" i="3"/>
  <c r="S54" i="1"/>
  <c r="S62" i="1"/>
  <c r="S50" i="1"/>
  <c r="S46" i="1"/>
  <c r="S45" i="1"/>
  <c r="S44" i="1"/>
  <c r="S43" i="1"/>
  <c r="S40" i="1"/>
  <c r="S39" i="1"/>
  <c r="S38" i="1"/>
  <c r="S37" i="1"/>
  <c r="S28" i="1"/>
  <c r="S23" i="1"/>
  <c r="S22" i="1"/>
  <c r="J63" i="1"/>
  <c r="J62" i="1"/>
  <c r="E60" i="3" s="1"/>
  <c r="J61" i="1"/>
  <c r="J60" i="1"/>
  <c r="J59" i="1"/>
  <c r="J58" i="1"/>
  <c r="P58" i="1" s="1"/>
  <c r="J57" i="1"/>
  <c r="E55" i="3" s="1"/>
  <c r="J56" i="1"/>
  <c r="J55" i="1"/>
  <c r="J54" i="1"/>
  <c r="E52" i="3" s="1"/>
  <c r="J53" i="1"/>
  <c r="J43" i="1"/>
  <c r="AH35" i="1"/>
  <c r="AH38" i="1"/>
  <c r="AH39" i="1"/>
  <c r="AH40" i="1"/>
  <c r="AH47" i="1"/>
  <c r="AH48" i="1"/>
  <c r="AC26" i="1"/>
  <c r="AC24" i="1"/>
  <c r="AC62" i="1"/>
  <c r="AC61" i="1"/>
  <c r="AC60" i="1"/>
  <c r="AC59" i="1"/>
  <c r="AC58" i="1"/>
  <c r="N63" i="1"/>
  <c r="O63" i="1" s="1"/>
  <c r="G58" i="2"/>
  <c r="G57" i="2"/>
  <c r="G59" i="2"/>
  <c r="G56" i="2"/>
  <c r="H63" i="1"/>
  <c r="H62" i="1"/>
  <c r="H61" i="1"/>
  <c r="H60" i="1"/>
  <c r="H59" i="1"/>
  <c r="H58" i="1"/>
  <c r="H57" i="1"/>
  <c r="H56" i="1"/>
  <c r="H55" i="1"/>
  <c r="H54" i="1"/>
  <c r="H53" i="1"/>
  <c r="E54" i="3" l="1"/>
  <c r="P63" i="1"/>
  <c r="R63" i="1" s="1"/>
  <c r="E37" i="3"/>
  <c r="E59" i="3"/>
  <c r="E53" i="3"/>
  <c r="E51" i="3"/>
  <c r="R60" i="1"/>
  <c r="E58" i="3"/>
  <c r="E61" i="3"/>
  <c r="R62" i="1"/>
  <c r="R58" i="1"/>
  <c r="E56" i="3"/>
  <c r="R59" i="1"/>
  <c r="E57" i="3"/>
  <c r="I57" i="2" l="1"/>
  <c r="I58" i="2"/>
  <c r="I59" i="2"/>
  <c r="I56" i="2"/>
  <c r="V55" i="1"/>
  <c r="V54" i="1"/>
  <c r="V53" i="1"/>
  <c r="V57" i="1"/>
  <c r="K57" i="1" l="1"/>
  <c r="K55" i="1"/>
  <c r="K54" i="1"/>
  <c r="K53" i="1"/>
  <c r="Q63" i="1" l="1"/>
  <c r="Q62" i="1"/>
  <c r="Q61" i="1"/>
  <c r="Q60" i="1"/>
  <c r="Q59" i="1"/>
  <c r="Q58" i="1"/>
  <c r="Q57" i="1"/>
  <c r="Q55" i="1" l="1"/>
  <c r="Q54" i="1"/>
  <c r="K48" i="2"/>
  <c r="AD47" i="1"/>
  <c r="K47" i="2"/>
  <c r="AD28" i="1"/>
  <c r="L28" i="1" s="1"/>
  <c r="AD20" i="1"/>
  <c r="AH30" i="1"/>
  <c r="J29" i="1"/>
  <c r="E23" i="3" s="1"/>
  <c r="J30" i="1"/>
  <c r="E24" i="3" s="1"/>
  <c r="L30" i="1"/>
  <c r="AD29" i="1"/>
  <c r="L29" i="1" s="1"/>
  <c r="K34" i="2"/>
  <c r="I34" i="2"/>
  <c r="AH29" i="1"/>
  <c r="V30" i="1"/>
  <c r="V29" i="1"/>
  <c r="K30" i="1" l="1"/>
  <c r="K29" i="1"/>
  <c r="AD22" i="1" l="1"/>
  <c r="K28" i="2"/>
  <c r="L23" i="1" l="1"/>
  <c r="L22" i="1"/>
  <c r="U19" i="1"/>
  <c r="U22" i="1"/>
  <c r="H22" i="1"/>
  <c r="J22" i="1"/>
  <c r="E16" i="3" s="1"/>
  <c r="AH22" i="1"/>
  <c r="V22" i="1"/>
  <c r="V20" i="1"/>
  <c r="K22" i="1" l="1"/>
  <c r="AH19" i="1" l="1"/>
  <c r="L54" i="1"/>
  <c r="L55" i="1"/>
  <c r="L56" i="1"/>
  <c r="L57" i="1"/>
  <c r="L58" i="1"/>
  <c r="L59" i="1"/>
  <c r="L60" i="1"/>
  <c r="L61" i="1"/>
  <c r="L62" i="1"/>
  <c r="L63" i="1"/>
  <c r="L53" i="1"/>
  <c r="L31" i="1"/>
  <c r="L32" i="1"/>
  <c r="L35" i="1"/>
  <c r="L37" i="1"/>
  <c r="L38" i="1"/>
  <c r="L39" i="1"/>
  <c r="L40" i="1"/>
  <c r="L43" i="1"/>
  <c r="L44" i="1"/>
  <c r="L45" i="1"/>
  <c r="L46" i="1"/>
  <c r="L47" i="1"/>
  <c r="L48" i="1"/>
  <c r="L19" i="1"/>
  <c r="AH20" i="1"/>
  <c r="J20" i="1"/>
  <c r="E14" i="3" s="1"/>
  <c r="J48" i="1"/>
  <c r="J47" i="1"/>
  <c r="H48" i="1"/>
  <c r="H47" i="1"/>
  <c r="H35" i="1"/>
  <c r="H30" i="1"/>
  <c r="H29" i="1"/>
  <c r="F56" i="3"/>
  <c r="F57" i="3"/>
  <c r="F58" i="3"/>
  <c r="F60" i="3"/>
  <c r="F61" i="3"/>
  <c r="P24" i="1"/>
  <c r="F18" i="3" s="1"/>
  <c r="P26" i="1"/>
  <c r="F20" i="3" s="1"/>
  <c r="P31" i="1"/>
  <c r="F25" i="3" s="1"/>
  <c r="P32" i="1"/>
  <c r="F26" i="3" s="1"/>
  <c r="P38" i="1"/>
  <c r="P39" i="1"/>
  <c r="P40" i="1"/>
  <c r="P50" i="1"/>
  <c r="F44" i="3" s="1"/>
  <c r="K19" i="1"/>
  <c r="J19" i="1"/>
  <c r="E13" i="3" s="1"/>
  <c r="H19" i="1"/>
  <c r="F34" i="3" l="1"/>
  <c r="R40" i="1"/>
  <c r="F33" i="3"/>
  <c r="R39" i="1"/>
  <c r="F32" i="3"/>
  <c r="R38" i="1"/>
  <c r="E41" i="3"/>
  <c r="E42" i="3"/>
  <c r="B6" i="3"/>
  <c r="J23" i="1" l="1"/>
  <c r="E17" i="3" s="1"/>
  <c r="J24" i="1"/>
  <c r="E18" i="3" s="1"/>
  <c r="J25" i="1"/>
  <c r="E19" i="3" s="1"/>
  <c r="J26" i="1"/>
  <c r="E20" i="3" s="1"/>
  <c r="J27" i="1"/>
  <c r="J28" i="1"/>
  <c r="E22" i="3" s="1"/>
  <c r="J31" i="1"/>
  <c r="E25" i="3" s="1"/>
  <c r="J32" i="1"/>
  <c r="E26" i="3" s="1"/>
  <c r="J33" i="1"/>
  <c r="E27" i="3" s="1"/>
  <c r="J34" i="1"/>
  <c r="E28" i="3" s="1"/>
  <c r="J36" i="1"/>
  <c r="J37" i="1"/>
  <c r="J41" i="1"/>
  <c r="E35" i="3" s="1"/>
  <c r="J42" i="1"/>
  <c r="J44" i="1"/>
  <c r="J45" i="1"/>
  <c r="E39" i="3" s="1"/>
  <c r="J46" i="1"/>
  <c r="E40" i="3" s="1"/>
  <c r="J49" i="1"/>
  <c r="E43" i="3" s="1"/>
  <c r="J50" i="1"/>
  <c r="E44" i="3" s="1"/>
  <c r="F78" i="1"/>
  <c r="AD34" i="1"/>
  <c r="L34" i="1" s="1"/>
  <c r="K38" i="2"/>
  <c r="K37" i="2"/>
  <c r="N37" i="2"/>
  <c r="K24" i="1"/>
  <c r="E36" i="3" l="1"/>
  <c r="E21" i="3"/>
  <c r="E31" i="3"/>
  <c r="E38" i="3"/>
  <c r="E30" i="3"/>
  <c r="J64" i="1"/>
  <c r="F73" i="1" s="1"/>
  <c r="B4" i="3"/>
  <c r="B5" i="3"/>
  <c r="B7" i="3"/>
  <c r="A2" i="3"/>
  <c r="AC31" i="1" l="1"/>
  <c r="AD49" i="1" l="1"/>
  <c r="L49" i="1" s="1"/>
  <c r="K49" i="2"/>
  <c r="AD50" i="1"/>
  <c r="L50" i="1" s="1"/>
  <c r="I42" i="2"/>
  <c r="AD42" i="1"/>
  <c r="L42" i="1" s="1"/>
  <c r="AD36" i="1"/>
  <c r="L36" i="1" s="1"/>
  <c r="AD27" i="1"/>
  <c r="L27" i="1" s="1"/>
  <c r="H20" i="1"/>
  <c r="AD25" i="1"/>
  <c r="L25" i="1" s="1"/>
  <c r="K30" i="2"/>
  <c r="L20" i="1" l="1"/>
  <c r="I27" i="2"/>
  <c r="K27" i="2"/>
  <c r="AP13" i="1"/>
  <c r="AP12" i="1"/>
  <c r="T56" i="1"/>
  <c r="AP96" i="1"/>
  <c r="AP33" i="1"/>
  <c r="H50" i="1"/>
  <c r="U50" i="1"/>
  <c r="AD26" i="1"/>
  <c r="L26" i="1" s="1"/>
  <c r="AD24" i="1"/>
  <c r="L24" i="1" s="1"/>
  <c r="I46" i="2"/>
  <c r="I38" i="2"/>
  <c r="I37" i="2"/>
  <c r="I36" i="2"/>
  <c r="K55" i="2"/>
  <c r="K40" i="2"/>
  <c r="K33" i="2"/>
  <c r="K32" i="2"/>
  <c r="AH26" i="1"/>
  <c r="AH27" i="1"/>
  <c r="T27" i="1"/>
  <c r="U27" i="1" s="1"/>
  <c r="T26" i="1"/>
  <c r="U26" i="1" s="1"/>
  <c r="H27" i="1"/>
  <c r="H26" i="1"/>
  <c r="K20" i="1" l="1"/>
  <c r="AP108" i="1"/>
  <c r="AP109" i="1"/>
  <c r="AP97" i="1"/>
  <c r="AP82" i="1"/>
  <c r="AP81" i="1"/>
  <c r="AP59" i="1"/>
  <c r="AP58" i="1"/>
  <c r="AP32" i="1"/>
  <c r="AP25" i="1"/>
  <c r="F64" i="1"/>
  <c r="AP24" i="1"/>
  <c r="T63" i="1"/>
  <c r="U63" i="1" s="1"/>
  <c r="G63" i="1"/>
  <c r="G62" i="1"/>
  <c r="T61" i="1"/>
  <c r="U61" i="1" s="1"/>
  <c r="G61" i="1"/>
  <c r="T60" i="1"/>
  <c r="U60" i="1" s="1"/>
  <c r="G60" i="1"/>
  <c r="T59" i="1"/>
  <c r="U59" i="1" s="1"/>
  <c r="G59" i="1"/>
  <c r="T58" i="1"/>
  <c r="U58" i="1" s="1"/>
  <c r="G58" i="1"/>
  <c r="T57" i="1"/>
  <c r="U57" i="1" s="1"/>
  <c r="G57" i="1"/>
  <c r="G56" i="1"/>
  <c r="T55" i="1"/>
  <c r="U55" i="1" s="1"/>
  <c r="G55" i="1"/>
  <c r="G54" i="1"/>
  <c r="T53" i="1"/>
  <c r="U53" i="1" s="1"/>
  <c r="G53" i="1"/>
  <c r="AH49" i="1"/>
  <c r="T49" i="1"/>
  <c r="U49" i="1" s="1"/>
  <c r="H49" i="1"/>
  <c r="AH46" i="1"/>
  <c r="U46" i="1"/>
  <c r="H46" i="1"/>
  <c r="AH45" i="1"/>
  <c r="U45" i="1"/>
  <c r="H45" i="1"/>
  <c r="AH44" i="1"/>
  <c r="U44" i="1"/>
  <c r="H44" i="1"/>
  <c r="AH43" i="1"/>
  <c r="U43" i="1"/>
  <c r="H43" i="1"/>
  <c r="AH42" i="1"/>
  <c r="T42" i="1"/>
  <c r="U42" i="1" s="1"/>
  <c r="H42" i="1"/>
  <c r="AH41" i="1"/>
  <c r="AD41" i="1"/>
  <c r="L41" i="1" s="1"/>
  <c r="T41" i="1"/>
  <c r="U41" i="1" s="1"/>
  <c r="H41" i="1"/>
  <c r="AH37" i="1"/>
  <c r="U37" i="1"/>
  <c r="H37" i="1"/>
  <c r="AH36" i="1"/>
  <c r="T36" i="1"/>
  <c r="U36" i="1" s="1"/>
  <c r="H36" i="1"/>
  <c r="AH34" i="1"/>
  <c r="T34" i="1"/>
  <c r="U34" i="1" s="1"/>
  <c r="H34" i="1"/>
  <c r="AH33" i="1"/>
  <c r="AD33" i="1"/>
  <c r="L33" i="1" s="1"/>
  <c r="T33" i="1"/>
  <c r="U33" i="1" s="1"/>
  <c r="H33" i="1"/>
  <c r="AH32" i="1"/>
  <c r="T32" i="1"/>
  <c r="U32" i="1" s="1"/>
  <c r="H32" i="1"/>
  <c r="AH31" i="1"/>
  <c r="T31" i="1"/>
  <c r="U31" i="1" s="1"/>
  <c r="H31" i="1"/>
  <c r="AH28" i="1"/>
  <c r="U28" i="1"/>
  <c r="H28" i="1"/>
  <c r="AH25" i="1"/>
  <c r="T25" i="1"/>
  <c r="U25" i="1" s="1"/>
  <c r="H25" i="1"/>
  <c r="AH24" i="1"/>
  <c r="T24" i="1"/>
  <c r="U24" i="1" s="1"/>
  <c r="H24" i="1"/>
  <c r="AH23" i="1"/>
  <c r="U23" i="1"/>
  <c r="H23" i="1"/>
  <c r="T20" i="1"/>
  <c r="U20" i="1" s="1"/>
  <c r="V23" i="1"/>
  <c r="V36" i="1"/>
  <c r="V34" i="1"/>
  <c r="V33" i="1"/>
  <c r="V46" i="1"/>
  <c r="K46" i="1" l="1"/>
  <c r="K36" i="1"/>
  <c r="K34" i="1"/>
  <c r="K33" i="1"/>
  <c r="K23" i="1"/>
  <c r="AH64" i="1"/>
  <c r="AC64" i="1" s="1"/>
  <c r="AC56" i="1" s="1"/>
  <c r="H64" i="1"/>
  <c r="F72" i="1" s="1"/>
  <c r="W21" i="1" l="1"/>
  <c r="AC21" i="1"/>
  <c r="AC25" i="1"/>
  <c r="AC27" i="1"/>
  <c r="AC23" i="1"/>
  <c r="AC20" i="1"/>
  <c r="AC29" i="1"/>
  <c r="AC22" i="1"/>
  <c r="AC47" i="1"/>
  <c r="AC48" i="1"/>
  <c r="AC30" i="1"/>
  <c r="AC35" i="1"/>
  <c r="W29" i="1"/>
  <c r="W35" i="1"/>
  <c r="W30" i="1"/>
  <c r="AC55" i="1"/>
  <c r="AC54" i="1"/>
  <c r="AC57" i="1"/>
  <c r="AC53" i="1"/>
  <c r="W47" i="1"/>
  <c r="W48" i="1"/>
  <c r="W55" i="1"/>
  <c r="W60" i="1"/>
  <c r="N60" i="1" s="1"/>
  <c r="O60" i="1" s="1"/>
  <c r="W59" i="1"/>
  <c r="N59" i="1" s="1"/>
  <c r="O59" i="1" s="1"/>
  <c r="W54" i="1"/>
  <c r="W53" i="1"/>
  <c r="W58" i="1"/>
  <c r="N58" i="1" s="1"/>
  <c r="O58" i="1" s="1"/>
  <c r="W61" i="1"/>
  <c r="N61" i="1" s="1"/>
  <c r="O61" i="1" s="1"/>
  <c r="P61" i="1" s="1"/>
  <c r="W57" i="1"/>
  <c r="W56" i="1"/>
  <c r="N56" i="1" s="1"/>
  <c r="O56" i="1" s="1"/>
  <c r="W62" i="1"/>
  <c r="N62" i="1" s="1"/>
  <c r="O62" i="1" s="1"/>
  <c r="W22" i="1"/>
  <c r="F71" i="1"/>
  <c r="E67" i="3" s="1"/>
  <c r="W19" i="1"/>
  <c r="AC19" i="1"/>
  <c r="F74" i="1"/>
  <c r="AC42" i="1"/>
  <c r="AC37" i="1"/>
  <c r="AC46" i="1"/>
  <c r="AC32" i="1"/>
  <c r="AC33" i="1"/>
  <c r="AC34" i="1"/>
  <c r="W46" i="1"/>
  <c r="N45" i="1"/>
  <c r="O45" i="1" s="1"/>
  <c r="P45" i="1" s="1"/>
  <c r="F39" i="3" s="1"/>
  <c r="N44" i="1"/>
  <c r="O44" i="1" s="1"/>
  <c r="P44" i="1" s="1"/>
  <c r="F38" i="3" s="1"/>
  <c r="N43" i="1"/>
  <c r="O43" i="1" s="1"/>
  <c r="P43" i="1" s="1"/>
  <c r="R43" i="1" s="1"/>
  <c r="W28" i="1"/>
  <c r="W27" i="1"/>
  <c r="W26" i="1"/>
  <c r="AC36" i="1"/>
  <c r="AC41" i="1"/>
  <c r="AC50" i="1"/>
  <c r="W50" i="1"/>
  <c r="AC49" i="1"/>
  <c r="AC28" i="1"/>
  <c r="W25" i="1"/>
  <c r="W24" i="1"/>
  <c r="W34" i="1"/>
  <c r="W49" i="1"/>
  <c r="W20" i="1"/>
  <c r="W33" i="1"/>
  <c r="W23" i="1"/>
  <c r="W37" i="1"/>
  <c r="W42" i="1"/>
  <c r="W31" i="1"/>
  <c r="W41" i="1"/>
  <c r="W36" i="1"/>
  <c r="W32" i="1"/>
  <c r="P56" i="1" l="1"/>
  <c r="R56" i="1" s="1"/>
  <c r="N21" i="1"/>
  <c r="O21" i="1" s="1"/>
  <c r="P21" i="1" s="1"/>
  <c r="N47" i="1"/>
  <c r="O47" i="1" s="1"/>
  <c r="P47" i="1" s="1"/>
  <c r="R47" i="1" s="1"/>
  <c r="N55" i="1"/>
  <c r="R61" i="1"/>
  <c r="F59" i="3"/>
  <c r="N48" i="1"/>
  <c r="O48" i="1" s="1"/>
  <c r="P48" i="1" s="1"/>
  <c r="N29" i="1"/>
  <c r="O29" i="1" s="1"/>
  <c r="P29" i="1" s="1"/>
  <c r="N30" i="1"/>
  <c r="O30" i="1" s="1"/>
  <c r="P30" i="1" s="1"/>
  <c r="N35" i="1"/>
  <c r="O35" i="1" s="1"/>
  <c r="P35" i="1" s="1"/>
  <c r="N54" i="1"/>
  <c r="O54" i="1" s="1"/>
  <c r="F52" i="3" s="1"/>
  <c r="N57" i="1"/>
  <c r="O57" i="1" s="1"/>
  <c r="N53" i="1"/>
  <c r="O53" i="1" s="1"/>
  <c r="P53" i="1" s="1"/>
  <c r="F37" i="3"/>
  <c r="N20" i="1"/>
  <c r="N22" i="1"/>
  <c r="O22" i="1" s="1"/>
  <c r="P22" i="1" s="1"/>
  <c r="N19" i="1"/>
  <c r="O19" i="1" s="1"/>
  <c r="P19" i="1" s="1"/>
  <c r="N37" i="1"/>
  <c r="O37" i="1" s="1"/>
  <c r="P37" i="1" s="1"/>
  <c r="F31" i="3" s="1"/>
  <c r="N50" i="1"/>
  <c r="O50" i="1" s="1"/>
  <c r="N46" i="1"/>
  <c r="O46" i="1" s="1"/>
  <c r="P46" i="1" s="1"/>
  <c r="R46" i="1" s="1"/>
  <c r="N25" i="1"/>
  <c r="O25" i="1" s="1"/>
  <c r="P25" i="1" s="1"/>
  <c r="F19" i="3" s="1"/>
  <c r="N34" i="1"/>
  <c r="O34" i="1" s="1"/>
  <c r="R44" i="1"/>
  <c r="R45" i="1"/>
  <c r="N26" i="1"/>
  <c r="O26" i="1" s="1"/>
  <c r="N27" i="1"/>
  <c r="O27" i="1" s="1"/>
  <c r="P27" i="1" s="1"/>
  <c r="F21" i="3" s="1"/>
  <c r="R26" i="1"/>
  <c r="N33" i="1"/>
  <c r="O33" i="1" s="1"/>
  <c r="N36" i="1"/>
  <c r="O36" i="1" s="1"/>
  <c r="P36" i="1" s="1"/>
  <c r="F30" i="3" s="1"/>
  <c r="N42" i="1"/>
  <c r="O42" i="1" s="1"/>
  <c r="P42" i="1" s="1"/>
  <c r="F36" i="3" s="1"/>
  <c r="N41" i="1"/>
  <c r="O41" i="1" s="1"/>
  <c r="N31" i="1"/>
  <c r="O31" i="1" s="1"/>
  <c r="N32" i="1"/>
  <c r="O32" i="1" s="1"/>
  <c r="N23" i="1"/>
  <c r="O23" i="1" s="1"/>
  <c r="P23" i="1" s="1"/>
  <c r="F17" i="3" s="1"/>
  <c r="N49" i="1"/>
  <c r="O49" i="1" s="1"/>
  <c r="P49" i="1" s="1"/>
  <c r="F43" i="3" s="1"/>
  <c r="N28" i="1"/>
  <c r="O28" i="1" s="1"/>
  <c r="P28" i="1" s="1"/>
  <c r="F22" i="3" s="1"/>
  <c r="N24" i="1"/>
  <c r="O24" i="1" s="1"/>
  <c r="F29" i="3" l="1"/>
  <c r="R35" i="1"/>
  <c r="R21" i="1"/>
  <c r="F15" i="3"/>
  <c r="F54" i="3"/>
  <c r="F24" i="3"/>
  <c r="R30" i="1"/>
  <c r="F23" i="3"/>
  <c r="R29" i="1"/>
  <c r="F42" i="3"/>
  <c r="R48" i="1"/>
  <c r="F41" i="3"/>
  <c r="O55" i="1"/>
  <c r="P55" i="1" s="1"/>
  <c r="R37" i="1"/>
  <c r="R54" i="1"/>
  <c r="R19" i="1"/>
  <c r="F13" i="3"/>
  <c r="R22" i="1"/>
  <c r="F16" i="3"/>
  <c r="R53" i="1"/>
  <c r="F51" i="3"/>
  <c r="R57" i="1"/>
  <c r="F55" i="3"/>
  <c r="F40" i="3"/>
  <c r="P41" i="1"/>
  <c r="P33" i="1"/>
  <c r="P34" i="1"/>
  <c r="F28" i="3" s="1"/>
  <c r="O20" i="1"/>
  <c r="R32" i="1"/>
  <c r="R27" i="1"/>
  <c r="R36" i="1"/>
  <c r="R42" i="1"/>
  <c r="R31" i="1"/>
  <c r="R24" i="1"/>
  <c r="R25" i="1"/>
  <c r="R28" i="1"/>
  <c r="R50" i="1"/>
  <c r="R49" i="1"/>
  <c r="F27" i="3" l="1"/>
  <c r="R33" i="1"/>
  <c r="F53" i="3"/>
  <c r="R55" i="1"/>
  <c r="P20" i="1"/>
  <c r="F14" i="3" s="1"/>
  <c r="O64" i="1"/>
  <c r="F75" i="1" s="1"/>
  <c r="R41" i="1"/>
  <c r="F35" i="3"/>
  <c r="R34" i="1"/>
  <c r="R23" i="1"/>
  <c r="F77" i="1" l="1"/>
  <c r="E70" i="3"/>
  <c r="A74" i="3" s="1"/>
  <c r="B80" i="1"/>
  <c r="R20" i="1" l="1"/>
  <c r="R64" i="1" s="1"/>
  <c r="F79" i="1"/>
  <c r="E68" i="3"/>
  <c r="E72" i="3"/>
  <c r="F76" i="1" l="1"/>
  <c r="E69" i="3"/>
  <c r="E73" i="3"/>
  <c r="E71" i="3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stage.maverick.bayer.us</author>
    <author>Mark Ford</author>
    <author>Robert McNamara</author>
  </authors>
  <commentList>
    <comment ref="F20" authorId="0" shapeId="0" xr:uid="{3A25C1E5-1B4A-4322-8473-8588C9715DC1}">
      <text>
        <r>
          <rPr>
            <b/>
            <u/>
            <sz val="9"/>
            <color rgb="FF000000"/>
            <rFont val="Tahoma"/>
            <family val="2"/>
          </rPr>
          <t>Rebate Finder</t>
        </r>
        <r>
          <rPr>
            <sz val="9"/>
            <color rgb="FF000000"/>
            <rFont val="Tahoma"/>
            <family val="2"/>
          </rPr>
          <t xml:space="preserve">
Note: To qualify for this item's select rebate of $64, you must add minimum of 4 units. Pair with with Chipco Signature or Signature XTRA for an additional rebate of $25 per unit. See pairing charts to right for details.</t>
        </r>
      </text>
    </comment>
    <comment ref="F22" authorId="1" shapeId="0" xr:uid="{0251D795-3F79-4D65-A968-79D3F118D40B}">
      <text>
        <r>
          <rPr>
            <b/>
            <sz val="9"/>
            <color indexed="81"/>
            <rFont val="Tahoma"/>
            <family val="2"/>
          </rPr>
          <t xml:space="preserve">Rebate Finder
</t>
        </r>
        <r>
          <rPr>
            <sz val="9"/>
            <color indexed="81"/>
            <rFont val="Tahoma"/>
            <family val="2"/>
          </rPr>
          <t xml:space="preserve">Note: To qualify for this item's select rebate of $5, you must add minimum of 16 units. Pair 16+ units with 2+ units of Specticle FLO for a $5 per unit pairing rebate.
</t>
        </r>
      </text>
    </comment>
    <comment ref="F23" authorId="2" shapeId="0" xr:uid="{57A6E08D-7361-4993-B56D-89FA92CBC54E}">
      <text>
        <r>
          <rPr>
            <b/>
            <u/>
            <sz val="9"/>
            <color indexed="81"/>
            <rFont val="Tahoma"/>
            <family val="2"/>
          </rPr>
          <t>Rebate Finder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Note: To qualify for this item's select rebate of $5, you must add minimum of 8 units.
</t>
        </r>
      </text>
    </comment>
    <comment ref="F25" authorId="1" shapeId="0" xr:uid="{EF05B7F7-E14E-4DFE-835D-8317A7D46FEE}">
      <text>
        <r>
          <rPr>
            <b/>
            <sz val="9"/>
            <color indexed="81"/>
            <rFont val="Tahoma"/>
            <family val="2"/>
          </rPr>
          <t xml:space="preserve">Rebate Finder
</t>
        </r>
        <r>
          <rPr>
            <sz val="9"/>
            <color indexed="81"/>
            <rFont val="Tahoma"/>
            <family val="2"/>
          </rPr>
          <t>Pair with 3+ cases of Chipco Signature with 4 units of Banol to receive an additional rebate of $30 per case of Chipco Signature</t>
        </r>
      </text>
    </comment>
    <comment ref="F27" authorId="1" shapeId="0" xr:uid="{1B1C709A-CF31-46C0-B4A7-E95B47A28606}">
      <text>
        <r>
          <rPr>
            <b/>
            <sz val="9"/>
            <color indexed="81"/>
            <rFont val="Tahoma"/>
            <family val="2"/>
          </rPr>
          <t>Rebate Finder</t>
        </r>
        <r>
          <rPr>
            <sz val="9"/>
            <color indexed="81"/>
            <rFont val="Tahoma"/>
            <family val="2"/>
          </rPr>
          <t xml:space="preserve">
Pair 12+ bottles of Chipco Signature with 4 units of Banol to receive an additional rebate of $7.50 per bottle of Chipco Signature
</t>
        </r>
      </text>
    </comment>
    <comment ref="F28" authorId="1" shapeId="0" xr:uid="{234570D4-156D-4C75-9C7C-CE9C78FE75DF}">
      <text>
        <r>
          <rPr>
            <b/>
            <sz val="9"/>
            <color indexed="81"/>
            <rFont val="Tahoma"/>
            <family val="2"/>
          </rPr>
          <t xml:space="preserve">Rebate finder:
</t>
        </r>
        <r>
          <rPr>
            <sz val="9"/>
            <color indexed="81"/>
            <rFont val="Tahoma"/>
            <family val="2"/>
          </rPr>
          <t>Pair 4+ units with 4+ units of Tetrino to receive a pairing rebate of $30 per unit. OR, pair 2+ units with 2+ units Tartan to receive a $30 rebate.</t>
        </r>
      </text>
    </comment>
    <comment ref="F29" authorId="1" shapeId="0" xr:uid="{6B7E60F9-64D5-4D57-BEC3-B69644B021A0}">
      <text>
        <r>
          <rPr>
            <b/>
            <sz val="9"/>
            <color indexed="81"/>
            <rFont val="Tahoma"/>
            <family val="2"/>
          </rPr>
          <t xml:space="preserve">Rebate finder:
</t>
        </r>
        <r>
          <rPr>
            <sz val="9"/>
            <color indexed="81"/>
            <rFont val="Tahoma"/>
            <family val="2"/>
          </rPr>
          <t>Buy 16+ units and receive a $40 select rebate per unit. Pair 16+ units with 6 units of Tartan and receive an addition $7 per unit pairing rebate.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30" authorId="1" shapeId="0" xr:uid="{912625E5-03E2-49B4-8BFF-DEB100CFDDB6}">
      <text>
        <r>
          <rPr>
            <b/>
            <sz val="9"/>
            <color indexed="81"/>
            <rFont val="Tahoma"/>
            <family val="2"/>
          </rPr>
          <t>Rebate finder:</t>
        </r>
        <r>
          <rPr>
            <sz val="9"/>
            <color indexed="81"/>
            <rFont val="Tahoma"/>
            <family val="2"/>
          </rPr>
          <t xml:space="preserve">
Buy 8+ units and receive a $10 select rebate per unit. </t>
        </r>
      </text>
    </comment>
    <comment ref="F33" authorId="0" shapeId="0" xr:uid="{4C917CB1-CFF2-462A-B9ED-320B694CEE69}">
      <text>
        <r>
          <rPr>
            <b/>
            <u/>
            <sz val="9"/>
            <color rgb="FF000000"/>
            <rFont val="Tahoma"/>
            <family val="2"/>
          </rPr>
          <t>Rebate Finder</t>
        </r>
        <r>
          <rPr>
            <sz val="9"/>
            <color rgb="FF000000"/>
            <rFont val="Tahoma"/>
            <family val="2"/>
          </rPr>
          <t xml:space="preserve">
Note: To qualify for this item's select rebate of $25, you must add minimum of 2 units. Pair 6+ units with 2 units of Mirage for an additional rebate of $21 per bottle.</t>
        </r>
      </text>
    </comment>
    <comment ref="F34" authorId="0" shapeId="0" xr:uid="{C36E226A-8A6F-46D8-9BE9-E07F12754A6D}">
      <text>
        <r>
          <rPr>
            <b/>
            <u/>
            <sz val="9"/>
            <color rgb="FF000000"/>
            <rFont val="Tahoma"/>
            <family val="2"/>
          </rPr>
          <t xml:space="preserve">Rebate Finder
</t>
        </r>
        <r>
          <rPr>
            <sz val="9"/>
            <color rgb="FF000000"/>
            <rFont val="Tahoma"/>
            <family val="2"/>
          </rPr>
          <t>Note: To qualify for this item's select rebateof $25, you must add minimum of 2 units. Pair 6+ units with 2 units of Mirage for an additional rebate of $21 per bottle.</t>
        </r>
      </text>
    </comment>
    <comment ref="F35" authorId="1" shapeId="0" xr:uid="{6B583358-A35E-466C-8E55-4776A81E6FF5}">
      <text>
        <r>
          <rPr>
            <b/>
            <sz val="9"/>
            <color indexed="81"/>
            <rFont val="Tahoma"/>
            <family val="2"/>
          </rPr>
          <t xml:space="preserve">Rebate Finder
</t>
        </r>
        <r>
          <rPr>
            <sz val="9"/>
            <color indexed="81"/>
            <rFont val="Tahoma"/>
            <family val="2"/>
          </rPr>
          <t xml:space="preserve">Purchase 1+ unit to receive a select rebate of $53
</t>
        </r>
      </text>
    </comment>
    <comment ref="F36" authorId="0" shapeId="0" xr:uid="{7A0B76BA-DCA8-4B37-94B4-B7477505761B}">
      <text>
        <r>
          <rPr>
            <b/>
            <u/>
            <sz val="9"/>
            <color rgb="FF000000"/>
            <rFont val="Tahoma"/>
            <family val="2"/>
          </rPr>
          <t>Rebate Finder</t>
        </r>
        <r>
          <rPr>
            <sz val="9"/>
            <color rgb="FF000000"/>
            <rFont val="Tahoma"/>
            <family val="2"/>
          </rPr>
          <t xml:space="preserve">
Note: To qualify for this item's select rebate $5, you must add minimum of 1 unit. Pair 2+ units with 6+ units of Interface to receive a $21 rebate per unit of Mirage.</t>
        </r>
      </text>
    </comment>
    <comment ref="F38" authorId="1" shapeId="0" xr:uid="{C336874A-DA08-4D60-AA47-DB5A9D22BBCB}">
      <text>
        <r>
          <rPr>
            <b/>
            <sz val="9"/>
            <color indexed="81"/>
            <rFont val="Tahoma"/>
            <family val="2"/>
          </rPr>
          <t>Purchases count towards rebate tier, but do not receive tier rebate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39" authorId="1" shapeId="0" xr:uid="{94037F88-76AC-4477-8349-1AC7030D8C12}">
      <text>
        <r>
          <rPr>
            <b/>
            <sz val="9"/>
            <color indexed="81"/>
            <rFont val="Tahoma"/>
            <family val="2"/>
          </rPr>
          <t>Purchases count towards rebate tier, but do not receive tier rebate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0" authorId="1" shapeId="0" xr:uid="{5D2BC055-60BC-49E1-87A6-1E1802CD262A}">
      <text>
        <r>
          <rPr>
            <b/>
            <sz val="9"/>
            <color indexed="81"/>
            <rFont val="Tahoma"/>
            <family val="2"/>
          </rPr>
          <t>Purchases count towards rebate tier, but do not receive tier rebate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1" authorId="0" shapeId="0" xr:uid="{0CB07B8F-2037-4CC5-80C1-890E0CBC67B1}">
      <text>
        <r>
          <rPr>
            <b/>
            <u/>
            <sz val="9"/>
            <color rgb="FF000000"/>
            <rFont val="Tahoma"/>
            <family val="2"/>
          </rPr>
          <t>Rebate Finder</t>
        </r>
        <r>
          <rPr>
            <sz val="9"/>
            <color rgb="FF000000"/>
            <rFont val="Tahoma"/>
            <family val="2"/>
          </rPr>
          <t xml:space="preserve">
Note: Earn a pairing rebate of $9/bottle for 24+ units purchased with 4+ units of Banol.</t>
        </r>
      </text>
    </comment>
    <comment ref="F42" authorId="0" shapeId="0" xr:uid="{EA45D671-A930-43D9-8823-0622D0B00F6D}">
      <text>
        <r>
          <rPr>
            <b/>
            <sz val="9"/>
            <color rgb="FF000000"/>
            <rFont val="Tahoma"/>
            <family val="2"/>
          </rPr>
          <t>Rebate Finder</t>
        </r>
        <r>
          <rPr>
            <u/>
            <sz val="9"/>
            <color rgb="FF000000"/>
            <rFont val="Tahoma"/>
            <family val="2"/>
          </rPr>
          <t xml:space="preserve">
Note: Earn a pairing rebate of $9/bottle for 24+ units purchased with 4+ units of Banol.</t>
        </r>
      </text>
    </comment>
    <comment ref="F43" authorId="2" shapeId="0" xr:uid="{A76A4E14-7070-454A-82BF-EFB59AB0278C}">
      <text>
        <r>
          <rPr>
            <b/>
            <sz val="9"/>
            <color indexed="81"/>
            <rFont val="Tahoma"/>
            <family val="2"/>
          </rPr>
          <t>Purchases count towards rebate tier, but do not receive tier rebate</t>
        </r>
      </text>
    </comment>
    <comment ref="F44" authorId="2" shapeId="0" xr:uid="{C9C8294E-7203-4736-86AF-C167BC45961E}">
      <text>
        <r>
          <rPr>
            <b/>
            <sz val="9"/>
            <color indexed="81"/>
            <rFont val="Tahoma"/>
            <family val="2"/>
          </rPr>
          <t>Purchases count towards rebate tier, but do not receive tier rebate</t>
        </r>
      </text>
    </comment>
    <comment ref="F45" authorId="2" shapeId="0" xr:uid="{0715C6EA-9978-4737-BFB5-630CAE607C5D}">
      <text>
        <r>
          <rPr>
            <b/>
            <sz val="9"/>
            <color indexed="81"/>
            <rFont val="Tahoma"/>
            <family val="2"/>
          </rPr>
          <t>Purchases count towards rebate tier, but do not receive tier rebate</t>
        </r>
      </text>
    </comment>
    <comment ref="F46" authorId="0" shapeId="0" xr:uid="{AE71B011-4BEB-493F-B642-DCAD0AF8C256}">
      <text>
        <r>
          <rPr>
            <b/>
            <u/>
            <sz val="9"/>
            <color rgb="FF000000"/>
            <rFont val="Tahoma"/>
            <family val="2"/>
          </rPr>
          <t>Rebate Finder</t>
        </r>
        <r>
          <rPr>
            <sz val="9"/>
            <color rgb="FF000000"/>
            <rFont val="Tahoma"/>
            <family val="2"/>
          </rPr>
          <t xml:space="preserve">
Note: To qualify for this item's select rebate of $10, you must add minimum of 20 units.</t>
        </r>
      </text>
    </comment>
    <comment ref="F47" authorId="1" shapeId="0" xr:uid="{D5A235E5-045B-4446-8105-543534B00B6A}">
      <text>
        <r>
          <rPr>
            <b/>
            <sz val="9"/>
            <color indexed="81"/>
            <rFont val="Tahoma"/>
            <family val="2"/>
          </rPr>
          <t xml:space="preserve">Rebate finder:
</t>
        </r>
        <r>
          <rPr>
            <sz val="9"/>
            <color indexed="81"/>
            <rFont val="Tahoma"/>
            <family val="2"/>
          </rPr>
          <t>Pair 2+ units with 2+ units of Densicor to receive a pairing rebate of $40 per unit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8" authorId="1" shapeId="0" xr:uid="{6E7C71C5-755E-4CBE-A09D-0518EF6E30D9}">
      <text>
        <r>
          <rPr>
            <b/>
            <sz val="9"/>
            <color indexed="81"/>
            <rFont val="Tahoma"/>
            <family val="2"/>
          </rPr>
          <t xml:space="preserve">Rebate finder:
</t>
        </r>
        <r>
          <rPr>
            <sz val="9"/>
            <color indexed="81"/>
            <rFont val="Tahoma"/>
            <family val="2"/>
          </rPr>
          <t xml:space="preserve">Pair 2+ units with 2+ units of Densicor to receive a pairing rebate of $40 per unit OR Pair 6+ units with 16+ units of Exteris for a pairing rebate of $40 per unit
</t>
        </r>
      </text>
    </comment>
    <comment ref="F49" authorId="1" shapeId="0" xr:uid="{8E349228-4345-4E60-869C-C3EA7ED30FFC}">
      <text>
        <r>
          <rPr>
            <b/>
            <sz val="9"/>
            <color indexed="81"/>
            <rFont val="Tahoma"/>
            <family val="2"/>
          </rPr>
          <t xml:space="preserve">Rebate finder:
</t>
        </r>
        <r>
          <rPr>
            <sz val="9"/>
            <color indexed="81"/>
            <rFont val="Tahoma"/>
            <family val="2"/>
          </rPr>
          <t xml:space="preserve">Pair 4+ units with 4+ units of Densicor to receive a pairing rebate of $20 per unit
</t>
        </r>
      </text>
    </comment>
    <comment ref="F50" authorId="1" shapeId="0" xr:uid="{DFF09828-0655-4BB6-A85F-BC468B45083A}">
      <text>
        <r>
          <rPr>
            <b/>
            <sz val="9"/>
            <color indexed="81"/>
            <rFont val="Tahoma"/>
            <family val="2"/>
          </rPr>
          <t xml:space="preserve">Rebate Finder:
</t>
        </r>
        <r>
          <rPr>
            <sz val="9"/>
            <color indexed="81"/>
            <rFont val="Tahoma"/>
            <family val="2"/>
          </rPr>
          <t xml:space="preserve">Pair 6+ units with 2+ units of Specticle FLO to receive $25 pairing rebate.
</t>
        </r>
      </text>
    </comment>
    <comment ref="F53" authorId="1" shapeId="0" xr:uid="{F8CE3DA1-8B1D-4F75-B332-3A2BB71C8F08}">
      <text>
        <r>
          <rPr>
            <b/>
            <sz val="9"/>
            <color indexed="81"/>
            <rFont val="Tahoma"/>
            <family val="2"/>
          </rPr>
          <t xml:space="preserve">Rebate finder:
</t>
        </r>
        <r>
          <rPr>
            <sz val="9"/>
            <color indexed="81"/>
            <rFont val="Tahoma"/>
            <family val="2"/>
          </rPr>
          <t xml:space="preserve">1+ units earns $50 per unit
</t>
        </r>
      </text>
    </comment>
    <comment ref="F54" authorId="1" shapeId="0" xr:uid="{FB6B1993-BACA-426B-9474-F676B325A695}">
      <text>
        <r>
          <rPr>
            <b/>
            <sz val="9"/>
            <color indexed="81"/>
            <rFont val="Tahoma"/>
            <family val="2"/>
          </rPr>
          <t>Rebate finder:</t>
        </r>
        <r>
          <rPr>
            <sz val="9"/>
            <color indexed="81"/>
            <rFont val="Tahoma"/>
            <family val="2"/>
          </rPr>
          <t xml:space="preserve">
1+ units earns $90 per unit
</t>
        </r>
      </text>
    </comment>
    <comment ref="F55" authorId="1" shapeId="0" xr:uid="{4C4A065F-A79D-4E6A-B063-51A9A01B281A}">
      <text>
        <r>
          <rPr>
            <b/>
            <sz val="9"/>
            <color indexed="81"/>
            <rFont val="Tahoma"/>
            <family val="2"/>
          </rPr>
          <t>Rebate finder:</t>
        </r>
        <r>
          <rPr>
            <sz val="9"/>
            <color indexed="81"/>
            <rFont val="Tahoma"/>
            <family val="2"/>
          </rPr>
          <t xml:space="preserve">
1+ units earns $24 per unit
</t>
        </r>
      </text>
    </comment>
    <comment ref="F57" authorId="1" shapeId="0" xr:uid="{40B522F8-D7F9-47DE-AE3C-7B61428AF28C}">
      <text>
        <r>
          <rPr>
            <b/>
            <sz val="9"/>
            <color indexed="81"/>
            <rFont val="Tahoma"/>
            <family val="2"/>
          </rPr>
          <t xml:space="preserve">Rebate finder:
</t>
        </r>
        <r>
          <rPr>
            <sz val="9"/>
            <color indexed="81"/>
            <rFont val="Tahoma"/>
            <family val="2"/>
          </rPr>
          <t xml:space="preserve">1+ units earns $50 per unit
</t>
        </r>
      </text>
    </comment>
    <comment ref="F63" authorId="2" shapeId="0" xr:uid="{DB417230-9812-4993-A7DC-6D61D0A87206}">
      <text>
        <r>
          <rPr>
            <b/>
            <sz val="9"/>
            <color indexed="81"/>
            <rFont val="Tahoma"/>
            <family val="2"/>
          </rPr>
          <t>Purchases count towards rebate tier, but do not receive tier rebate</t>
        </r>
      </text>
    </comment>
  </commentList>
</comments>
</file>

<file path=xl/sharedStrings.xml><?xml version="1.0" encoding="utf-8"?>
<sst xmlns="http://schemas.openxmlformats.org/spreadsheetml/2006/main" count="752" uniqueCount="356">
  <si>
    <t>2022 FALL SOLUTIONS CALCULATOR</t>
  </si>
  <si>
    <t>V5.5</t>
  </si>
  <si>
    <r>
      <rPr>
        <b/>
        <sz val="14"/>
        <color rgb="FF064121"/>
        <rFont val="Calibri"/>
        <family val="2"/>
      </rPr>
      <t>Agronomic Pairing Incentives:</t>
    </r>
    <r>
      <rPr>
        <sz val="14"/>
        <color rgb="FF064121"/>
        <rFont val="Calibri"/>
        <family val="2"/>
      </rPr>
      <t xml:space="preserve">
Add the </t>
    </r>
    <r>
      <rPr>
        <b/>
        <u val="double"/>
        <sz val="14"/>
        <color rgb="FF064121"/>
        <rFont val="Calibri"/>
        <family val="2"/>
      </rPr>
      <t>quantity</t>
    </r>
    <r>
      <rPr>
        <sz val="14"/>
        <color rgb="FF064121"/>
        <rFont val="Calibri"/>
        <family val="2"/>
      </rPr>
      <t xml:space="preserve"> of the agronomic solutions to the #units column F for a rebate estimate.</t>
    </r>
  </si>
  <si>
    <t>NAME YOUR DRAFT ORDER HERE</t>
  </si>
  <si>
    <t>MINIMUM</t>
  </si>
  <si>
    <t>MAXIMUM</t>
  </si>
  <si>
    <t>BASE REBATE %**</t>
  </si>
  <si>
    <t>AUG-OCT BONUS</t>
  </si>
  <si>
    <t>BASE + BONUS REBATE %</t>
  </si>
  <si>
    <r>
      <rPr>
        <b/>
        <sz val="10"/>
        <color rgb="FF000000"/>
        <rFont val="Calibri"/>
        <family val="2"/>
      </rPr>
      <t>Description</t>
    </r>
    <r>
      <rPr>
        <sz val="10"/>
        <color rgb="FF000000"/>
        <rFont val="Calibri"/>
        <family val="2"/>
      </rPr>
      <t xml:space="preserve">: </t>
    </r>
  </si>
  <si>
    <r>
      <rPr>
        <b/>
        <sz val="10"/>
        <color rgb="FF000000"/>
        <rFont val="Calibri"/>
        <family val="2"/>
      </rPr>
      <t>Dist/DSR</t>
    </r>
    <r>
      <rPr>
        <sz val="10"/>
        <color rgb="FF000000"/>
        <rFont val="Calibri"/>
        <family val="2"/>
      </rPr>
      <t xml:space="preserve">: </t>
    </r>
  </si>
  <si>
    <t>Innovation Solution</t>
  </si>
  <si>
    <r>
      <rPr>
        <b/>
        <sz val="10"/>
        <color rgb="FF000000"/>
        <rFont val="Calibri"/>
        <family val="2"/>
      </rPr>
      <t>MBR#</t>
    </r>
    <r>
      <rPr>
        <sz val="10"/>
        <color rgb="FF000000"/>
        <rFont val="Calibri"/>
        <family val="2"/>
      </rPr>
      <t xml:space="preserve">: </t>
    </r>
  </si>
  <si>
    <r>
      <rPr>
        <b/>
        <sz val="10"/>
        <color rgb="FF000000"/>
        <rFont val="Calibri"/>
        <family val="2"/>
      </rPr>
      <t>Last Updated</t>
    </r>
    <r>
      <rPr>
        <sz val="10"/>
        <color rgb="FF000000"/>
        <rFont val="Calibri"/>
        <family val="2"/>
      </rPr>
      <t xml:space="preserve">: </t>
    </r>
  </si>
  <si>
    <r>
      <rPr>
        <b/>
        <sz val="10"/>
        <color rgb="FF000000"/>
        <rFont val="Calibri"/>
        <family val="2"/>
      </rPr>
      <t>Created For</t>
    </r>
    <r>
      <rPr>
        <sz val="10"/>
        <color rgb="FF000000"/>
        <rFont val="Calibri"/>
        <family val="2"/>
      </rPr>
      <t xml:space="preserve">: </t>
    </r>
  </si>
  <si>
    <t>Agency Products</t>
  </si>
  <si>
    <t>UNIT SIZE</t>
  </si>
  <si>
    <t># UNITS</t>
  </si>
  <si>
    <t>GAL/OZ/LB</t>
  </si>
  <si>
    <t>USE RATE / 1,000 FT2</t>
  </si>
  <si>
    <t>TOTAL ACRES</t>
  </si>
  <si>
    <t>Product Cart Line Items</t>
  </si>
  <si>
    <t>Densicor® 51 oz. bottle</t>
  </si>
  <si>
    <t>51 oz. bottle</t>
  </si>
  <si>
    <t>204 FL OZ.</t>
  </si>
  <si>
    <t>Tetrino® 1 gal. bottle</t>
  </si>
  <si>
    <t>1 gal. bottle</t>
  </si>
  <si>
    <t>4 GAL.</t>
  </si>
  <si>
    <t>Select Rebate</t>
  </si>
  <si>
    <t>Oct Bonus Yes/No</t>
  </si>
  <si>
    <t>Purchase Tier</t>
  </si>
  <si>
    <t>Pairing Rebate</t>
  </si>
  <si>
    <t>Non-Agency Products</t>
  </si>
  <si>
    <t>AGENCY PRODUCTS</t>
  </si>
  <si>
    <t>Hidden</t>
  </si>
  <si>
    <t>No non-agency products in this solution.</t>
  </si>
  <si>
    <t>QUALIFIES AUG-SEP</t>
  </si>
  <si>
    <t>QUALIFIES OCT-DEC 5</t>
  </si>
  <si>
    <t>PRODUCT ID</t>
  </si>
  <si>
    <t>PRODUCT NAME</t>
  </si>
  <si>
    <t>INSEASON PRICE</t>
  </si>
  <si>
    <t>INSEASON SUBTOTAL</t>
  </si>
  <si>
    <t>PRICE/UNIT*</t>
  </si>
  <si>
    <t>SUBTOTAL</t>
  </si>
  <si>
    <t>SELECT REBATES**</t>
  </si>
  <si>
    <t>PAIRING REBATES**</t>
  </si>
  <si>
    <t>REBATE %</t>
  </si>
  <si>
    <t>REBATE AMOUNT</t>
  </si>
  <si>
    <r>
      <t>NET PRICE/UNIT</t>
    </r>
    <r>
      <rPr>
        <b/>
        <sz val="6"/>
        <color rgb="FF000000"/>
        <rFont val="Calibri"/>
        <family val="2"/>
      </rPr>
      <t xml:space="preserve"> </t>
    </r>
    <r>
      <rPr>
        <b/>
        <sz val="8"/>
        <color rgb="FF000000"/>
        <rFont val="Calibri"/>
        <family val="2"/>
      </rPr>
      <t>(all rebates, incl. purchase tier)</t>
    </r>
  </si>
  <si>
    <t>REBATE PRICE/UNIT</t>
  </si>
  <si>
    <t>TOTAL AFTER REBATE</t>
  </si>
  <si>
    <t>USE RATE / ACRE</t>
  </si>
  <si>
    <t>TOTAL ACRES TREATED</t>
  </si>
  <si>
    <t>GRADUATED</t>
  </si>
  <si>
    <t>HIGH VOLUME</t>
  </si>
  <si>
    <t>LIGHTHOUSE</t>
  </si>
  <si>
    <t>MULTIPLE BRAND</t>
  </si>
  <si>
    <t>CATEGORY MIX</t>
  </si>
  <si>
    <t>STRATEGIC BUNDLE</t>
  </si>
  <si>
    <t>VOLUME REBATE</t>
  </si>
  <si>
    <t>PAIRING</t>
  </si>
  <si>
    <t>PRIOR YEAR</t>
  </si>
  <si>
    <t>SALES GROWTH</t>
  </si>
  <si>
    <t>MAX REBATE</t>
  </si>
  <si>
    <t>REBATE ELIGIBLE</t>
  </si>
  <si>
    <t>GRADUATED RANGE</t>
  </si>
  <si>
    <t>PRE3 Solution</t>
  </si>
  <si>
    <t xml:space="preserve">Altus® </t>
  </si>
  <si>
    <t>64 oz jug</t>
  </si>
  <si>
    <t>bbcbe6c4-9047-423b-99f0-a244017febad</t>
  </si>
  <si>
    <t>Banol®</t>
  </si>
  <si>
    <t>2.5 gal. bottle</t>
  </si>
  <si>
    <t>Rebates!I4:K4</t>
  </si>
  <si>
    <t>Bayleton® FLO</t>
  </si>
  <si>
    <t>Celsius® WG</t>
  </si>
  <si>
    <t>10 oz. bottle</t>
  </si>
  <si>
    <t>Rebates!I17:K17</t>
  </si>
  <si>
    <t>b49e6a56-4067-49e0-99c9-2d0e7006100e</t>
  </si>
  <si>
    <t>Celsius® XTRA</t>
  </si>
  <si>
    <t>Rebates!I18:K18</t>
  </si>
  <si>
    <t>03211b71-991c-4cfe-8e7a-e26b7b4bf851</t>
  </si>
  <si>
    <t xml:space="preserve">Chipco® Signature™ (1-2 units)  </t>
  </si>
  <si>
    <t>8 X 5.5 lb. case</t>
  </si>
  <si>
    <t xml:space="preserve">Specticle® FLO 1 gal. bottle </t>
  </si>
  <si>
    <t xml:space="preserve">1 gal. bottle </t>
  </si>
  <si>
    <t>2 GAL.</t>
  </si>
  <si>
    <t>Chipco® Signature™ (3+ units)</t>
  </si>
  <si>
    <t>Tribute® Total 6 oz. bottle</t>
  </si>
  <si>
    <t>6 oz. bottle</t>
  </si>
  <si>
    <t>36 FL OZ.</t>
  </si>
  <si>
    <t xml:space="preserve">Chipco® Signature™ (1-8 units)  </t>
  </si>
  <si>
    <t>11 lb. bottle</t>
  </si>
  <si>
    <t>Chipco® Signature™ (9+ units)</t>
  </si>
  <si>
    <t>Pythium Solution</t>
  </si>
  <si>
    <t>cf80fc95-84cf-4a43-ad35-566d841d8092</t>
  </si>
  <si>
    <t>Densicor®</t>
  </si>
  <si>
    <t xml:space="preserve">Exteris® Stressgard® </t>
  </si>
  <si>
    <t>Rebates!I13:K13</t>
  </si>
  <si>
    <t xml:space="preserve">Fiata® Stressgard® </t>
  </si>
  <si>
    <t>Rebates!I14:K14</t>
  </si>
  <si>
    <t>93aff452-86a9-4dad-b6b1-b3eca2654a1a</t>
  </si>
  <si>
    <t>Indemnify® (1-5 units)</t>
  </si>
  <si>
    <t>17.1 oz. bottle</t>
  </si>
  <si>
    <t>Indemnify® (6+ units)</t>
  </si>
  <si>
    <t>Banol® 2.5 gal. bottle</t>
  </si>
  <si>
    <t>10 GAL.</t>
  </si>
  <si>
    <t>70bae14d-c623-41e5-be1f-b253040df11b</t>
  </si>
  <si>
    <t>Interface® Stressgard® (1-5 units)</t>
  </si>
  <si>
    <t>Rebates!I5:K6</t>
  </si>
  <si>
    <t>Chipco® Signature™8 x 5.5 lb. case 
OR 11 lb. bottle</t>
  </si>
  <si>
    <t>5.5 lb. case/ 
11 lb. bottle</t>
  </si>
  <si>
    <t>3 cases or 12 bottles</t>
  </si>
  <si>
    <t>132 LB.</t>
  </si>
  <si>
    <t>Interface® Stressgard® (6+ units)</t>
  </si>
  <si>
    <t>Merit® 75 WSP Mega Mini</t>
  </si>
  <si>
    <t>110 x1.6 oz drum</t>
  </si>
  <si>
    <t>Rebates!I19:K19</t>
  </si>
  <si>
    <t>e5cf993c-f4be-4b17-9a11-7be12af96da8</t>
  </si>
  <si>
    <t>Mirage® Stressgard®</t>
  </si>
  <si>
    <t>Rebates!I7:K7</t>
  </si>
  <si>
    <t>Dual Defense Solution</t>
  </si>
  <si>
    <t>45ab34ad-77f7-4bb9-9ade-ac3a8c834e8e</t>
  </si>
  <si>
    <t>Revolver®</t>
  </si>
  <si>
    <t>87 oz. bottle</t>
  </si>
  <si>
    <t>Ronstar® FLO (1-11 units)</t>
  </si>
  <si>
    <t>Ronstar® FLO (12-39 units)</t>
  </si>
  <si>
    <t>Ronstar® FLO (40+ units)</t>
  </si>
  <si>
    <t>1f082954-d8b1-47a3-9296-2f7fde5fd2c5</t>
  </si>
  <si>
    <t>Signature™ XTRA Stressgard® (1-23 units)</t>
  </si>
  <si>
    <t>5.5 lb. bottle</t>
  </si>
  <si>
    <t>Rebates!I8:K9</t>
  </si>
  <si>
    <t>Celsius® WG 10 oz. bottle</t>
  </si>
  <si>
    <t>160 OZ.</t>
  </si>
  <si>
    <t>Signature™ XTRA Stressgard® (24+ units)</t>
  </si>
  <si>
    <t>Specticle® FLO 1 gal. bottle</t>
  </si>
  <si>
    <t>e5befeaa-55cf-4e18-a5f9-2906e26590d4</t>
  </si>
  <si>
    <t>Specticle® FLO (1-13 units)</t>
  </si>
  <si>
    <t>Specticle® FLO (14-25 units)</t>
  </si>
  <si>
    <t>Specticle® FLO (26+ units)</t>
  </si>
  <si>
    <t>Fairy Ring Solution</t>
  </si>
  <si>
    <t>08caf272-b02e-4190-848a-f1b1d33ebb26</t>
  </si>
  <si>
    <t>Specticle® G</t>
  </si>
  <si>
    <t>50 lb. bag</t>
  </si>
  <si>
    <t>Rebates!I10:K10</t>
  </si>
  <si>
    <t>Tartan® Stressgard® (1-5 units)</t>
  </si>
  <si>
    <t>Tartan® Stressgard® (6+ units)</t>
  </si>
  <si>
    <t>cba7eaa1-e077-4a0c-9051-b29968ffc0f6</t>
  </si>
  <si>
    <t>Tetrino®</t>
  </si>
  <si>
    <t>372f672d-e4a1-4dae-9406-dc204b119e0a</t>
  </si>
  <si>
    <t xml:space="preserve">Tribute® Total </t>
  </si>
  <si>
    <t>101 OZ.</t>
  </si>
  <si>
    <t>NON-AGENCY PRODUCTS</t>
  </si>
  <si>
    <t>Tartan® 2.5 gal. bottle</t>
  </si>
  <si>
    <t>5 GAL.</t>
  </si>
  <si>
    <t>NET PRICE/UNIT</t>
  </si>
  <si>
    <t>TOTAL PURCHASE</t>
  </si>
  <si>
    <t>079e45c8-d3d1-4618-a542-d3b3477937fc</t>
  </si>
  <si>
    <t>26GT®</t>
  </si>
  <si>
    <t>Rebates!I20:K20</t>
  </si>
  <si>
    <t>Pythium XTRA Solution</t>
  </si>
  <si>
    <t>a8b807d9-6e7c-43da-97f7-9d24807a8a9c</t>
  </si>
  <si>
    <t>Acclaim® Extra</t>
  </si>
  <si>
    <t>Rebates!I22:K22</t>
  </si>
  <si>
    <t>7956fbac-af4a-4747-8bf5-aebc72eac622</t>
  </si>
  <si>
    <t>Armada® 50 WDG</t>
  </si>
  <si>
    <t>2 lb. bottle</t>
  </si>
  <si>
    <t>Rebates!I23:K23</t>
  </si>
  <si>
    <t>I have no idea</t>
  </si>
  <si>
    <t>Chipco® Choice</t>
  </si>
  <si>
    <t>b357401c-a798-4687-8b1a-f17fc0e1b8e6</t>
  </si>
  <si>
    <t>Compass® 50 WG</t>
  </si>
  <si>
    <t>1 lb. bottle</t>
  </si>
  <si>
    <t>Rebates!I21:K21</t>
  </si>
  <si>
    <t>1dc573e6-01f7-49e2-895e-d77a7493d7c0</t>
  </si>
  <si>
    <t>Dylox® 420 SL</t>
  </si>
  <si>
    <t>81f25f62-c7a5-424a-bc95-a312e7d6b23a</t>
  </si>
  <si>
    <t>Forbid®</t>
  </si>
  <si>
    <t>8 oz. bottle</t>
  </si>
  <si>
    <t xml:space="preserve">Signature™ XTRA Stressgard® </t>
  </si>
  <si>
    <t>fc309c31-5dc4-4467-8188-7fed19174648</t>
  </si>
  <si>
    <t>Prograss®</t>
  </si>
  <si>
    <t>53fdd107-43a9-40a2-b52d-232b5e4abb44</t>
  </si>
  <si>
    <t>Proxy®</t>
  </si>
  <si>
    <t>d2c53017-6358-45e5-843e-aab1d753a7f1</t>
  </si>
  <si>
    <t>32 oz. bottle</t>
  </si>
  <si>
    <t>1ffb0cf0-5773-44db-b7a2-a3852a9b7c08</t>
  </si>
  <si>
    <t>Topchoice®</t>
  </si>
  <si>
    <t>Fairway Solution</t>
  </si>
  <si>
    <t>Early Order (August-October) Bonus</t>
  </si>
  <si>
    <t>Product Cart Summary</t>
  </si>
  <si>
    <t>Purchases Invoiced Aug 1 - Oct 31 2022?</t>
  </si>
  <si>
    <t>Disclaimer. The Product Cart summary is provided as an estimate only. See program rulles and conditions.</t>
  </si>
  <si>
    <t>Purchases Invoiced August 1 - October 31 2022</t>
  </si>
  <si>
    <t>Select YES or NO below</t>
  </si>
  <si>
    <t>Exteris® Stressgard® 2.5 gal. bottle</t>
  </si>
  <si>
    <t>40 GAL.</t>
  </si>
  <si>
    <t>Tartan® Stressgard® 2.5 gal. bottle</t>
  </si>
  <si>
    <t>15 GAL.</t>
  </si>
  <si>
    <t>In Season Total</t>
  </si>
  <si>
    <t>YES</t>
  </si>
  <si>
    <t>Volume Discount</t>
  </si>
  <si>
    <t xml:space="preserve">FALL Solutions Invoice Total </t>
  </si>
  <si>
    <t>Note: Qualified purchases up to $36,999 may receive an additional 1% early purchase incentive. Qualified purchases over $36,999 include the 1% early purchase incentive.</t>
  </si>
  <si>
    <t>Purchase Tier Level</t>
  </si>
  <si>
    <t>Rebate</t>
  </si>
  <si>
    <t>Utility/Snow Mold Solution</t>
  </si>
  <si>
    <t>Net Total after Rebate</t>
  </si>
  <si>
    <t>Rebate %</t>
  </si>
  <si>
    <t>Total Savings %</t>
  </si>
  <si>
    <t>Total Savings % (Rebates + Volume Discounts)</t>
  </si>
  <si>
    <r>
      <t xml:space="preserve">*Pricing for all states except CA or WA. Must be purchased on a single invoice to receive volume discount price. **Must be registered in My Bayer Rewards and accept current Terms and Conditions to participate. +Customer Fall Solutions and NOW Solutions promotional cumulative purchases (August 1 - December 5, 2022) must be $5,000 or more to qualify for Purchase Tier Rebate. New members signed up before December 31, 2022, will receive 2022 NOW/Fall Solutions rebates. All rebates for 2022 NOW/Fall Solutions will be paid in points, which can be redeemed for thousands of catalog items, distributor credits and/or company checks (no checks can be issued to a third party). All products must be invoiced between October 1 and December 5, 2022, to qualify. </t>
    </r>
    <r>
      <rPr>
        <b/>
        <sz val="10"/>
        <color rgb="FF000000"/>
        <rFont val="Calibri"/>
        <family val="2"/>
      </rPr>
      <t>Rebate calculations will be based on the date of actual product invoice and calculator tools are provided for estimation purposes only</t>
    </r>
    <r>
      <rPr>
        <b/>
        <sz val="9"/>
        <color rgb="FF000000"/>
        <rFont val="Calibri"/>
        <family val="2"/>
      </rPr>
      <t xml:space="preserve">. </t>
    </r>
    <r>
      <rPr>
        <sz val="9"/>
        <color rgb="FF000000"/>
        <rFont val="Calibri"/>
        <family val="2"/>
      </rPr>
      <t>Rebates will only be paid or delivered to the company or name listed on the invoice. Please allow for rebates to be fulfilled by July 31, 2023. Only end-user purchases qualify for this program, and purchases must be from a Bayer authorized Distributor or Agent. Resale of product(s) purchased within this program will not qualify for rebates. If questions arise, please contact My Bayer Rewards at 1-888-456-6464 or email MYBAYERREWARDS@one10marketing.com. Bayer reserves the right to modify any portion thereof, or discontinue this program without prior notice.</t>
    </r>
  </si>
  <si>
    <t>Interface® Stressgard® 2.5 gal. bottle</t>
  </si>
  <si>
    <t>Mirage® Stressgard® 2.5 gal. bottle</t>
  </si>
  <si>
    <t>Other Suggested Pairings</t>
  </si>
  <si>
    <t>Leaf Spot &amp; Greens Health</t>
  </si>
  <si>
    <t>Chipco® Signature™ 5.5 lb. case 
OR 11 lb. bottle</t>
  </si>
  <si>
    <t>8 x 5.5 lb. case/
11 lb. bottle</t>
  </si>
  <si>
    <t>Leaf Spot &amp; Greens Health XTRA</t>
  </si>
  <si>
    <t>Signature™ XTRA Stressgard® 5.5 lb. bottle</t>
  </si>
  <si>
    <r>
      <rPr>
        <b/>
        <sz val="10"/>
        <color rgb="FF000000"/>
        <rFont val="Calibri"/>
        <family val="2"/>
      </rPr>
      <t>Distributor/DSR</t>
    </r>
    <r>
      <rPr>
        <sz val="10"/>
        <color rgb="FF000000"/>
        <rFont val="Calibri"/>
        <family val="2"/>
      </rPr>
      <t xml:space="preserve">: </t>
    </r>
  </si>
  <si>
    <t>Page 1 of 1</t>
  </si>
  <si>
    <t>PRICE/UNIT</t>
  </si>
  <si>
    <t>Ronstar® FLO</t>
  </si>
  <si>
    <t>Page 2 of 2</t>
  </si>
  <si>
    <t>TITLE TRANSFER PRODUCTS</t>
  </si>
  <si>
    <t>Disclaimer. The Product Cart summary is provided as an estimate only. Final values will be based on a comparisons of the invoices and product cart. See program rules and conditions.</t>
  </si>
  <si>
    <t>Fall Solutions Invoice Total</t>
  </si>
  <si>
    <t>Net Total after Rebates</t>
  </si>
  <si>
    <t>Select Rebates</t>
  </si>
  <si>
    <t>REBATE ENGINE PLUGIN STATUS</t>
  </si>
  <si>
    <t>GRADUATED REBATES</t>
  </si>
  <si>
    <t>TOTAL PURCHASE REBATE</t>
  </si>
  <si>
    <t>Update status</t>
  </si>
  <si>
    <t>PLUGIN ID</t>
  </si>
  <si>
    <t>PLUGIN NAME</t>
  </si>
  <si>
    <t>PLUGIN ACTIVE</t>
  </si>
  <si>
    <t>UNIT NAME</t>
  </si>
  <si>
    <t>MINIMUM QTY</t>
  </si>
  <si>
    <t>MAXIMUM QTY</t>
  </si>
  <si>
    <t>INCLUDE INDIVIDUAL ONLY</t>
  </si>
  <si>
    <t>Tiers upated - 18 JUL</t>
  </si>
  <si>
    <t>Graduated Rebates</t>
  </si>
  <si>
    <t>Minimum Rebates</t>
  </si>
  <si>
    <t>Interface® Stressgard®</t>
  </si>
  <si>
    <t>High Volume Rebates</t>
  </si>
  <si>
    <t>Light House Rebates</t>
  </si>
  <si>
    <t>Multiple Brand Rebate</t>
  </si>
  <si>
    <t>Signature™ XTRA Stressgard®</t>
  </si>
  <si>
    <t>Category Mix Rebate</t>
  </si>
  <si>
    <t>Strategic Bundle Rebate</t>
  </si>
  <si>
    <t>Total Purchase Rebate</t>
  </si>
  <si>
    <t>c7bd22d2-8a58-4fa3-99f1-7d4802401c08</t>
  </si>
  <si>
    <t>Bayleton® FLO (1-2 units)</t>
  </si>
  <si>
    <t>Product Pairing Rebates</t>
  </si>
  <si>
    <t>Bayleton® FLO (3+ units)</t>
  </si>
  <si>
    <t>Prior Year Total Rebate</t>
  </si>
  <si>
    <t>bb9fa8d0-6e6d-47ce-b0ff-339138b8c32c</t>
  </si>
  <si>
    <t>Exteris® Stressgard®</t>
  </si>
  <si>
    <t>Sales Growth Rebate</t>
  </si>
  <si>
    <t>04bb62fc-7d6d-4969-8102-baaae9d7ab8f</t>
  </si>
  <si>
    <t>Fiata® Stressgard®</t>
  </si>
  <si>
    <t>eb8e2e44-8d24-45e5-893d-bf9f4e4e5cd9</t>
  </si>
  <si>
    <t>541c0a70-a5c3-4665-ac65-274a6bbef5f7</t>
  </si>
  <si>
    <t>3ecfc763-a4fa-4f2c-8555-2d2b85247f56</t>
  </si>
  <si>
    <t>110 X 1.6 oz. drum</t>
  </si>
  <si>
    <t>NO</t>
  </si>
  <si>
    <t>NOW Rebate Reference</t>
  </si>
  <si>
    <t>Graduated/Select (reference above) Rebate</t>
  </si>
  <si>
    <t>Now/Draft col AC</t>
  </si>
  <si>
    <t>Banol® (2.5 gal jug)</t>
  </si>
  <si>
    <t>$64 (4 or more)</t>
  </si>
  <si>
    <t>Done 17 JUL</t>
  </si>
  <si>
    <t xml:space="preserve">CelsiusWG </t>
  </si>
  <si>
    <t>$5 (16 or more)</t>
  </si>
  <si>
    <t>Chipco® Signature™(11 lb. bottle)</t>
  </si>
  <si>
    <t>done</t>
  </si>
  <si>
    <t>Chipco® Signature™ (44 lb. case)</t>
  </si>
  <si>
    <t>Densicor® (51 fl oz bottle)</t>
  </si>
  <si>
    <t>Exteris</t>
  </si>
  <si>
    <t>$40/16 or more</t>
  </si>
  <si>
    <t>Fiata</t>
  </si>
  <si>
    <t>Interface® Stressgard® (2.5 gal jug)</t>
  </si>
  <si>
    <t>$25 (2 or more)</t>
  </si>
  <si>
    <t>Mirage® Stressgard (2.5 gal jug)</t>
  </si>
  <si>
    <t>$5 (1 or more)</t>
  </si>
  <si>
    <t>Signature XTRA Stressgard (5.5 lb jug)</t>
  </si>
  <si>
    <t>Herbicides</t>
  </si>
  <si>
    <t>Celsius XTRA (10 oz bottle)</t>
  </si>
  <si>
    <t>$5 (8 or more)</t>
  </si>
  <si>
    <t>Revolver® (87 fl oz bottle)</t>
  </si>
  <si>
    <t>Specticle® FLO (1 gal jug)</t>
  </si>
  <si>
    <t>Specticle® G (50 lb bag)</t>
  </si>
  <si>
    <t>$10 (20 or more)</t>
  </si>
  <si>
    <t>Tartan</t>
  </si>
  <si>
    <t>Tribute® Total (6 oz bottle)</t>
  </si>
  <si>
    <t>Nematicides</t>
  </si>
  <si>
    <t>Indemnify® (17.1 fl oz bottle)</t>
  </si>
  <si>
    <t>Insecticides</t>
  </si>
  <si>
    <t>Merit Mega Mini</t>
  </si>
  <si>
    <t>Tetrino™ (1 gal jug)</t>
  </si>
  <si>
    <t>doner</t>
  </si>
  <si>
    <t>26GT</t>
  </si>
  <si>
    <t>Armada</t>
  </si>
  <si>
    <t>Compass</t>
  </si>
  <si>
    <t>Acclaim</t>
  </si>
  <si>
    <t>Updates Required:</t>
  </si>
  <si>
    <t>Status</t>
  </si>
  <si>
    <t>All pricing updates</t>
  </si>
  <si>
    <t>Good</t>
  </si>
  <si>
    <t>All select rebates</t>
  </si>
  <si>
    <t>All pairing rebates</t>
  </si>
  <si>
    <t>Volume rebate</t>
  </si>
  <si>
    <t>Printing function</t>
  </si>
  <si>
    <t>Fall products removed</t>
  </si>
  <si>
    <t xml:space="preserve">Testing </t>
  </si>
  <si>
    <t>Flyers added</t>
  </si>
  <si>
    <t>Posted to Teams</t>
  </si>
  <si>
    <t xml:space="preserve">Please consult the Golf and Lawn Flyers for full program details and conditions. </t>
  </si>
  <si>
    <t>Products</t>
  </si>
  <si>
    <t>Rebate Finders</t>
  </si>
  <si>
    <t>Banol® (4+)</t>
  </si>
  <si>
    <t>4 Units, earn per unit…</t>
  </si>
  <si>
    <t>Pair with 3 cases/12 bottles Chipco Signature or 24 Signature XTRA earn an additional per unit...</t>
  </si>
  <si>
    <t>Chipco® Signature™ Cases (3+ units)</t>
  </si>
  <si>
    <t>Pair 3+ cases/12+ bottles  of Chipco Signature with 4 units of Banol to receive an additional rebate per unit of…</t>
  </si>
  <si>
    <t>$30/Case</t>
  </si>
  <si>
    <t>Chipco® Signature™ Bottles (12+ units)</t>
  </si>
  <si>
    <t>$7.50/Bottle</t>
  </si>
  <si>
    <t>Pair 24+ units with 4+ units of Banol to earn an additional rebate per unit of…</t>
  </si>
  <si>
    <t>Celsius (16+)</t>
  </si>
  <si>
    <t>16+ units, earn…</t>
  </si>
  <si>
    <t>Pair 16+ units with 2+ units of Specticle FLO earn per unit…</t>
  </si>
  <si>
    <t>Exteris (16+)</t>
  </si>
  <si>
    <t xml:space="preserve">16+ units, earn... </t>
  </si>
  <si>
    <t>Pair 16+ units with 6 units of Tartan and receive…</t>
  </si>
  <si>
    <t>Fiata (8+)</t>
  </si>
  <si>
    <t>8 Units, earn per unit…</t>
  </si>
  <si>
    <t>Celsius® XTRA (8+)</t>
  </si>
  <si>
    <t>Specticle® G (20+)</t>
  </si>
  <si>
    <t>20 Units, earn per unit…</t>
  </si>
  <si>
    <t>Densicor® (4+)</t>
  </si>
  <si>
    <t>Paur 2+ units with 2+ units of Tartan earn…</t>
  </si>
  <si>
    <t>Pair 4+ units with 4+ units of Tetrino earn a pairing rebate per unit of…</t>
  </si>
  <si>
    <t>Tetrino® (4+)</t>
  </si>
  <si>
    <t>Pair 4+ units with 4+ units of Densicor earn a pairing rebate per unit of…</t>
  </si>
  <si>
    <t>Interface® Stressgard® (2+,6+)</t>
  </si>
  <si>
    <t>2 Units, earn per unit…</t>
  </si>
  <si>
    <t>Pair 6+ units with 2+ units Mirage, earn an additonal per unit…</t>
  </si>
  <si>
    <t>Mirage® Stressgard®(1,2+)</t>
  </si>
  <si>
    <t>1 Unit, earn per unit…</t>
  </si>
  <si>
    <t>Pair 2+ units with 6+ units Interface, earn an additional per unit…</t>
  </si>
  <si>
    <t>1+ units, earn…</t>
  </si>
  <si>
    <t>Tribute® Total (6+)</t>
  </si>
  <si>
    <t>Pair 6+ units with 2+ units of Specticle® FLO to receive a per unit rebate of…</t>
  </si>
  <si>
    <t>Pair 2+ units with 2+ units of Densicor to receive a pairing rebate of…</t>
  </si>
  <si>
    <t>Pair 6+ units with 16+ units of Exteris for a pairing rebate of…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</si>
</sst>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164" formatCode="0.00######"/>
    <numFmt numFmtId="165" formatCode="\$\ #,##0.00"/>
    <numFmt numFmtId="166" formatCode="0.00##########"/>
    <numFmt numFmtId="167" formatCode="0.00000000000"/>
    <numFmt numFmtId="168" formatCode="&quot;$&quot;#,##0.00"/>
    <numFmt numFmtId="169" formatCode="0.0000000000000"/>
    <numFmt numFmtId="170" formatCode="0.00000000000000"/>
    <numFmt numFmtId="171" formatCode="0.000"/>
    <numFmt numFmtId="172" formatCode="0.000000000000000"/>
    <numFmt numFmtId="173" formatCode="&quot;$&quot;#,##0"/>
  </numFmts>
  <fonts count="41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b/>
      <sz val="24"/>
      <color rgb="FF000000"/>
      <name val="Calibri"/>
      <family val="2"/>
    </font>
    <font>
      <b/>
      <sz val="12"/>
      <color rgb="FF000000"/>
      <name val="Calibri"/>
      <family val="2"/>
    </font>
    <font>
      <sz val="10"/>
      <color rgb="FF000000"/>
      <name val="Calibri"/>
      <family val="2"/>
    </font>
    <font>
      <b/>
      <sz val="16"/>
      <color rgb="FF000000"/>
      <name val="Calibri"/>
      <family val="2"/>
    </font>
    <font>
      <b/>
      <sz val="9"/>
      <color rgb="FF000000"/>
      <name val="Calibri"/>
      <family val="2"/>
    </font>
    <font>
      <b/>
      <sz val="10"/>
      <color rgb="FF000000"/>
      <name val="Calibri"/>
      <family val="2"/>
    </font>
    <font>
      <sz val="14"/>
      <color rgb="FF000000"/>
      <name val="Calibri"/>
      <family val="2"/>
    </font>
    <font>
      <sz val="16"/>
      <color rgb="FF000000"/>
      <name val="Calibri"/>
      <family val="2"/>
    </font>
    <font>
      <sz val="14"/>
      <color rgb="FF064121"/>
      <name val="Calibri"/>
      <family val="2"/>
    </font>
    <font>
      <b/>
      <u val="double"/>
      <sz val="14"/>
      <color rgb="FF064121"/>
      <name val="Calibri"/>
      <family val="2"/>
    </font>
    <font>
      <b/>
      <sz val="14"/>
      <color rgb="FF000000"/>
      <name val="Calibri"/>
      <family val="2"/>
    </font>
    <font>
      <sz val="14"/>
      <color rgb="FFFFFFFF"/>
      <name val="Calibri"/>
      <family val="2"/>
    </font>
    <font>
      <b/>
      <u/>
      <sz val="9"/>
      <color rgb="FF000000"/>
      <name val="Tahoma"/>
      <family val="2"/>
    </font>
    <font>
      <sz val="9"/>
      <color rgb="FF000000"/>
      <name val="Tahoma"/>
      <family val="2"/>
    </font>
    <font>
      <b/>
      <u/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rgb="FF000000"/>
      <name val="Calibri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8"/>
      <color rgb="FF000000"/>
      <name val="Calibri"/>
      <family val="2"/>
    </font>
    <font>
      <b/>
      <sz val="7.5"/>
      <color rgb="FF000000"/>
      <name val="Calibri"/>
      <family val="2"/>
    </font>
    <font>
      <sz val="10"/>
      <color theme="1"/>
      <name val="Calibri"/>
      <family val="2"/>
    </font>
    <font>
      <b/>
      <sz val="14"/>
      <color theme="1"/>
      <name val="Calibri"/>
      <family val="2"/>
    </font>
    <font>
      <sz val="12"/>
      <color rgb="FF000000"/>
      <name val="Calibri"/>
      <family val="2"/>
    </font>
    <font>
      <sz val="9"/>
      <color rgb="FF000000"/>
      <name val="Calibri"/>
      <family val="2"/>
    </font>
    <font>
      <b/>
      <sz val="14"/>
      <color rgb="FF064121"/>
      <name val="Calibri"/>
      <family val="2"/>
    </font>
    <font>
      <u/>
      <sz val="9"/>
      <color rgb="FF000000"/>
      <name val="Tahoma"/>
      <family val="2"/>
    </font>
    <font>
      <b/>
      <sz val="9"/>
      <color rgb="FF000000"/>
      <name val="Tahoma"/>
      <family val="2"/>
    </font>
    <font>
      <sz val="28"/>
      <color rgb="FFFF0000"/>
      <name val="Calibri"/>
      <family val="2"/>
    </font>
    <font>
      <b/>
      <sz val="10"/>
      <color theme="0"/>
      <name val="Calibri"/>
      <family val="2"/>
    </font>
    <font>
      <b/>
      <sz val="12"/>
      <color theme="0"/>
      <name val="Calibri"/>
      <family val="2"/>
    </font>
    <font>
      <b/>
      <i/>
      <sz val="11"/>
      <color rgb="FF000000"/>
      <name val="Calibri"/>
      <family val="2"/>
    </font>
    <font>
      <sz val="8"/>
      <name val="Calibri"/>
      <family val="2"/>
    </font>
    <font>
      <sz val="14"/>
      <color rgb="FFFF0000"/>
      <name val="Calibri"/>
      <family val="2"/>
    </font>
    <font>
      <b/>
      <sz val="6"/>
      <color rgb="FF000000"/>
      <name val="Calibri"/>
      <family val="2"/>
    </font>
    <font>
      <b/>
      <sz val="14"/>
      <name val="Calibri"/>
      <family val="2"/>
    </font>
    <font>
      <b/>
      <sz val="20"/>
      <color rgb="FFFF0000"/>
      <name val="Calibri"/>
      <family val="2"/>
    </font>
  </fonts>
  <fills count="22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FFFFFF"/>
      </patternFill>
    </fill>
    <fill>
      <patternFill patternType="solid">
        <fgColor rgb="FFFAFAFA"/>
      </patternFill>
    </fill>
    <fill>
      <patternFill patternType="solid">
        <fgColor rgb="FF66B512"/>
      </patternFill>
    </fill>
    <fill>
      <patternFill patternType="solid">
        <fgColor rgb="FFDEE2E6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64121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33993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CC"/>
        <bgColor rgb="FF000000"/>
      </patternFill>
    </fill>
    <fill>
      <patternFill patternType="solid">
        <fgColor rgb="FFFAFAFA"/>
        <bgColor rgb="FF000000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DEE2E6"/>
        <bgColor rgb="FF000000"/>
      </patternFill>
    </fill>
    <fill>
      <patternFill patternType="solid">
        <fgColor theme="5" tint="0.79998168889431442"/>
        <bgColor indexed="64"/>
      </patternFill>
    </fill>
  </fills>
  <borders count="74">
    <border>
      <left/>
      <right/>
      <top/>
      <bottom/>
      <diagonal/>
    </border>
    <border>
      <left/>
      <right/>
      <top/>
      <bottom style="thick">
        <color rgb="FF064121"/>
      </bottom>
      <diagonal/>
    </border>
    <border>
      <left style="thin">
        <color rgb="FF777777"/>
      </left>
      <right style="thin">
        <color rgb="FF777777"/>
      </right>
      <top style="thin">
        <color rgb="FF777777"/>
      </top>
      <bottom style="thin">
        <color rgb="FF777777"/>
      </bottom>
      <diagonal/>
    </border>
    <border>
      <left/>
      <right/>
      <top/>
      <bottom style="thick">
        <color rgb="FF66B512"/>
      </bottom>
      <diagonal/>
    </border>
    <border>
      <left/>
      <right style="thin">
        <color rgb="FF777777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rgb="FF777777"/>
      </top>
      <bottom style="thin">
        <color rgb="FF777777"/>
      </bottom>
      <diagonal/>
    </border>
    <border>
      <left/>
      <right style="thin">
        <color rgb="FF777777"/>
      </right>
      <top style="thin">
        <color rgb="FF777777"/>
      </top>
      <bottom style="thin">
        <color rgb="FF777777"/>
      </bottom>
      <diagonal/>
    </border>
    <border>
      <left style="thin">
        <color rgb="FF777777"/>
      </left>
      <right style="thin">
        <color rgb="FF777777"/>
      </right>
      <top style="thin">
        <color rgb="FF777777"/>
      </top>
      <bottom/>
      <diagonal/>
    </border>
    <border>
      <left style="thin">
        <color rgb="FF777777"/>
      </left>
      <right style="thin">
        <color rgb="FF777777"/>
      </right>
      <top style="thick">
        <color rgb="FF66B512"/>
      </top>
      <bottom style="thin">
        <color rgb="FF777777"/>
      </bottom>
      <diagonal/>
    </border>
    <border>
      <left/>
      <right/>
      <top style="thick">
        <color rgb="FF66B512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rgb="FF777777"/>
      </left>
      <right/>
      <top style="thin">
        <color rgb="FF777777"/>
      </top>
      <bottom style="thin">
        <color rgb="FF777777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rgb="FF777777"/>
      </top>
      <bottom/>
      <diagonal/>
    </border>
    <border>
      <left style="medium">
        <color indexed="64"/>
      </left>
      <right/>
      <top/>
      <bottom style="thick">
        <color rgb="FF66B512"/>
      </bottom>
      <diagonal/>
    </border>
    <border>
      <left/>
      <right style="medium">
        <color indexed="64"/>
      </right>
      <top/>
      <bottom style="thick">
        <color rgb="FF66B512"/>
      </bottom>
      <diagonal/>
    </border>
    <border>
      <left/>
      <right/>
      <top style="thick">
        <color rgb="FF66B512"/>
      </top>
      <bottom style="thin">
        <color rgb="FF000000"/>
      </bottom>
      <diagonal/>
    </border>
    <border>
      <left/>
      <right style="medium">
        <color indexed="64"/>
      </right>
      <top style="thick">
        <color rgb="FF66B512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 style="medium">
        <color indexed="64"/>
      </right>
      <top style="thin">
        <color rgb="FF000000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777777"/>
      </left>
      <right/>
      <top style="thin">
        <color rgb="FF777777"/>
      </top>
      <bottom/>
      <diagonal/>
    </border>
    <border>
      <left/>
      <right style="thin">
        <color rgb="FF777777"/>
      </right>
      <top style="thin">
        <color rgb="FF777777"/>
      </top>
      <bottom/>
      <diagonal/>
    </border>
    <border>
      <left style="thin">
        <color rgb="FF777777"/>
      </left>
      <right/>
      <top/>
      <bottom/>
      <diagonal/>
    </border>
    <border>
      <left/>
      <right/>
      <top/>
      <bottom style="thin">
        <color rgb="FF777777"/>
      </bottom>
      <diagonal/>
    </border>
    <border>
      <left style="medium">
        <color indexed="64"/>
      </left>
      <right style="thin">
        <color indexed="64"/>
      </right>
      <top style="thick">
        <color rgb="FF66B512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77777"/>
      </left>
      <right style="thin">
        <color rgb="FF777777"/>
      </right>
      <top/>
      <bottom style="thin">
        <color rgb="FF777777"/>
      </bottom>
      <diagonal/>
    </border>
    <border>
      <left/>
      <right/>
      <top/>
      <bottom style="thin">
        <color indexed="64"/>
      </bottom>
      <diagonal/>
    </border>
    <border>
      <left style="thin">
        <color rgb="FF777777"/>
      </left>
      <right style="thin">
        <color rgb="FF777777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rgb="FF000000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rgb="FF777777"/>
      </right>
      <top/>
      <bottom style="thin">
        <color rgb="FF777777"/>
      </bottom>
      <diagonal/>
    </border>
    <border>
      <left style="thin">
        <color rgb="FF777777"/>
      </left>
      <right style="medium">
        <color indexed="64"/>
      </right>
      <top/>
      <bottom style="thin">
        <color rgb="FF777777"/>
      </bottom>
      <diagonal/>
    </border>
    <border>
      <left style="medium">
        <color indexed="64"/>
      </left>
      <right style="thin">
        <color rgb="FF777777"/>
      </right>
      <top style="thin">
        <color rgb="FF777777"/>
      </top>
      <bottom style="thin">
        <color rgb="FF777777"/>
      </bottom>
      <diagonal/>
    </border>
    <border>
      <left style="thin">
        <color rgb="FF777777"/>
      </left>
      <right style="medium">
        <color indexed="64"/>
      </right>
      <top style="thin">
        <color rgb="FF777777"/>
      </top>
      <bottom style="thin">
        <color rgb="FF777777"/>
      </bottom>
      <diagonal/>
    </border>
    <border>
      <left style="medium">
        <color indexed="64"/>
      </left>
      <right style="thin">
        <color rgb="FF777777"/>
      </right>
      <top style="thin">
        <color rgb="FF777777"/>
      </top>
      <bottom style="medium">
        <color indexed="64"/>
      </bottom>
      <diagonal/>
    </border>
    <border>
      <left style="thin">
        <color rgb="FF777777"/>
      </left>
      <right style="thin">
        <color rgb="FF777777"/>
      </right>
      <top style="thin">
        <color rgb="FF777777"/>
      </top>
      <bottom style="medium">
        <color indexed="64"/>
      </bottom>
      <diagonal/>
    </border>
    <border>
      <left style="thin">
        <color rgb="FF777777"/>
      </left>
      <right style="medium">
        <color indexed="64"/>
      </right>
      <top style="thin">
        <color rgb="FF777777"/>
      </top>
      <bottom style="medium">
        <color indexed="64"/>
      </bottom>
      <diagonal/>
    </border>
    <border>
      <left style="medium">
        <color indexed="64"/>
      </left>
      <right style="thin">
        <color rgb="FF777777"/>
      </right>
      <top style="thick">
        <color rgb="FF66B512"/>
      </top>
      <bottom style="thin">
        <color rgb="FF777777"/>
      </bottom>
      <diagonal/>
    </border>
    <border>
      <left style="thin">
        <color rgb="FF777777"/>
      </left>
      <right style="medium">
        <color indexed="64"/>
      </right>
      <top style="thick">
        <color rgb="FF66B512"/>
      </top>
      <bottom style="thin">
        <color rgb="FF777777"/>
      </bottom>
      <diagonal/>
    </border>
    <border>
      <left style="medium">
        <color indexed="64"/>
      </left>
      <right/>
      <top style="thin">
        <color rgb="FF777777"/>
      </top>
      <bottom style="medium">
        <color indexed="64"/>
      </bottom>
      <diagonal/>
    </border>
    <border>
      <left/>
      <right/>
      <top style="thin">
        <color rgb="FF777777"/>
      </top>
      <bottom style="medium">
        <color indexed="64"/>
      </bottom>
      <diagonal/>
    </border>
    <border>
      <left/>
      <right style="medium">
        <color indexed="64"/>
      </right>
      <top style="thin">
        <color rgb="FF777777"/>
      </top>
      <bottom style="medium">
        <color indexed="64"/>
      </bottom>
      <diagonal/>
    </border>
    <border>
      <left style="thin">
        <color rgb="FF777777"/>
      </left>
      <right/>
      <top/>
      <bottom style="thin">
        <color rgb="FF777777"/>
      </bottom>
      <diagonal/>
    </border>
  </borders>
  <cellStyleXfs count="6">
    <xf numFmtId="0" fontId="0" fillId="0" borderId="0" applyBorder="0"/>
    <xf numFmtId="9" fontId="19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9" fillId="0" borderId="0" applyFont="0" applyFill="0" applyBorder="0" applyAlignment="0" applyProtection="0"/>
  </cellStyleXfs>
  <cellXfs count="452">
    <xf numFmtId="0" fontId="0" fillId="0" borderId="0" xfId="0"/>
    <xf numFmtId="164" fontId="2" fillId="3" borderId="1" xfId="0" applyNumberFormat="1" applyFont="1" applyFill="1" applyBorder="1" applyAlignment="1">
      <alignment vertical="center"/>
    </xf>
    <xf numFmtId="165" fontId="2" fillId="3" borderId="1" xfId="0" applyNumberFormat="1" applyFont="1" applyFill="1" applyBorder="1" applyAlignment="1">
      <alignment vertical="center"/>
    </xf>
    <xf numFmtId="0" fontId="4" fillId="3" borderId="1" xfId="0" applyFont="1" applyFill="1" applyBorder="1"/>
    <xf numFmtId="164" fontId="4" fillId="3" borderId="1" xfId="0" applyNumberFormat="1" applyFont="1" applyFill="1" applyBorder="1"/>
    <xf numFmtId="2" fontId="4" fillId="3" borderId="1" xfId="0" applyNumberFormat="1" applyFont="1" applyFill="1" applyBorder="1"/>
    <xf numFmtId="0" fontId="4" fillId="3" borderId="0" xfId="0" applyFont="1" applyFill="1"/>
    <xf numFmtId="1" fontId="4" fillId="3" borderId="0" xfId="0" applyNumberFormat="1" applyFont="1" applyFill="1"/>
    <xf numFmtId="165" fontId="4" fillId="3" borderId="0" xfId="0" applyNumberFormat="1" applyFont="1" applyFill="1"/>
    <xf numFmtId="10" fontId="4" fillId="3" borderId="0" xfId="0" applyNumberFormat="1" applyFont="1" applyFill="1"/>
    <xf numFmtId="164" fontId="4" fillId="3" borderId="0" xfId="0" applyNumberFormat="1" applyFont="1" applyFill="1"/>
    <xf numFmtId="2" fontId="4" fillId="3" borderId="0" xfId="0" applyNumberFormat="1" applyFont="1" applyFill="1"/>
    <xf numFmtId="165" fontId="7" fillId="6" borderId="2" xfId="0" applyNumberFormat="1" applyFont="1" applyFill="1" applyBorder="1" applyAlignment="1">
      <alignment horizontal="center" vertical="center" wrapText="1"/>
    </xf>
    <xf numFmtId="0" fontId="7" fillId="5" borderId="0" xfId="0" applyFont="1" applyFill="1" applyBorder="1"/>
    <xf numFmtId="0" fontId="7" fillId="5" borderId="4" xfId="0" applyFont="1" applyFill="1" applyBorder="1"/>
    <xf numFmtId="164" fontId="7" fillId="5" borderId="2" xfId="0" applyNumberFormat="1" applyFont="1" applyFill="1" applyBorder="1"/>
    <xf numFmtId="165" fontId="7" fillId="5" borderId="2" xfId="0" applyNumberFormat="1" applyFont="1" applyFill="1" applyBorder="1"/>
    <xf numFmtId="0" fontId="7" fillId="5" borderId="2" xfId="0" applyFont="1" applyFill="1" applyBorder="1"/>
    <xf numFmtId="0" fontId="7" fillId="6" borderId="2" xfId="0" applyFont="1" applyFill="1" applyBorder="1" applyAlignment="1">
      <alignment horizontal="center" vertical="center" wrapText="1"/>
    </xf>
    <xf numFmtId="0" fontId="4" fillId="4" borderId="2" xfId="0" applyFont="1" applyFill="1" applyBorder="1" applyAlignment="1">
      <alignment horizontal="center"/>
    </xf>
    <xf numFmtId="0" fontId="4" fillId="4" borderId="2" xfId="0" applyFont="1" applyFill="1" applyBorder="1"/>
    <xf numFmtId="1" fontId="4" fillId="2" borderId="2" xfId="0" applyNumberFormat="1" applyFont="1" applyFill="1" applyBorder="1" applyProtection="1">
      <protection locked="0"/>
    </xf>
    <xf numFmtId="165" fontId="4" fillId="4" borderId="2" xfId="0" applyNumberFormat="1" applyFont="1" applyFill="1" applyBorder="1"/>
    <xf numFmtId="164" fontId="4" fillId="2" borderId="2" xfId="0" applyNumberFormat="1" applyFont="1" applyFill="1" applyBorder="1" applyProtection="1">
      <protection locked="0"/>
    </xf>
    <xf numFmtId="2" fontId="4" fillId="4" borderId="2" xfId="0" applyNumberFormat="1" applyFont="1" applyFill="1" applyBorder="1"/>
    <xf numFmtId="164" fontId="4" fillId="4" borderId="2" xfId="0" applyNumberFormat="1" applyFont="1" applyFill="1" applyBorder="1"/>
    <xf numFmtId="0" fontId="6" fillId="6" borderId="2" xfId="0" applyFont="1" applyFill="1" applyBorder="1" applyAlignment="1">
      <alignment horizontal="center" wrapText="1"/>
    </xf>
    <xf numFmtId="1" fontId="6" fillId="6" borderId="2" xfId="0" applyNumberFormat="1" applyFont="1" applyFill="1" applyBorder="1" applyAlignment="1">
      <alignment horizontal="center" wrapText="1"/>
    </xf>
    <xf numFmtId="164" fontId="6" fillId="6" borderId="2" xfId="0" applyNumberFormat="1" applyFont="1" applyFill="1" applyBorder="1" applyAlignment="1">
      <alignment horizontal="center" wrapText="1"/>
    </xf>
    <xf numFmtId="1" fontId="4" fillId="4" borderId="2" xfId="0" applyNumberFormat="1" applyFont="1" applyFill="1" applyBorder="1" applyAlignment="1">
      <alignment horizontal="center"/>
    </xf>
    <xf numFmtId="164" fontId="4" fillId="7" borderId="2" xfId="0" applyNumberFormat="1" applyFont="1" applyFill="1" applyBorder="1" applyAlignment="1" applyProtection="1">
      <alignment horizontal="center"/>
      <protection locked="0"/>
    </xf>
    <xf numFmtId="0" fontId="7" fillId="5" borderId="7" xfId="0" applyFont="1" applyFill="1" applyBorder="1"/>
    <xf numFmtId="0" fontId="7" fillId="5" borderId="8" xfId="0" applyFont="1" applyFill="1" applyBorder="1"/>
    <xf numFmtId="165" fontId="4" fillId="4" borderId="2" xfId="0" applyNumberFormat="1" applyFont="1" applyFill="1" applyBorder="1" applyProtection="1">
      <protection locked="0"/>
    </xf>
    <xf numFmtId="165" fontId="4" fillId="2" borderId="2" xfId="0" applyNumberFormat="1" applyFont="1" applyFill="1" applyBorder="1" applyProtection="1">
      <protection locked="0"/>
    </xf>
    <xf numFmtId="0" fontId="4" fillId="4" borderId="2" xfId="0" applyFont="1" applyFill="1" applyBorder="1" applyAlignment="1">
      <alignment horizontal="left" indent="1"/>
    </xf>
    <xf numFmtId="0" fontId="4" fillId="6" borderId="2" xfId="0" applyFont="1" applyFill="1" applyBorder="1"/>
    <xf numFmtId="165" fontId="4" fillId="6" borderId="2" xfId="0" applyNumberFormat="1" applyFont="1" applyFill="1" applyBorder="1"/>
    <xf numFmtId="164" fontId="4" fillId="6" borderId="2" xfId="0" applyNumberFormat="1" applyFont="1" applyFill="1" applyBorder="1"/>
    <xf numFmtId="2" fontId="4" fillId="6" borderId="2" xfId="0" applyNumberFormat="1" applyFont="1" applyFill="1" applyBorder="1"/>
    <xf numFmtId="0" fontId="9" fillId="3" borderId="0" xfId="0" applyFont="1" applyFill="1" applyBorder="1"/>
    <xf numFmtId="0" fontId="8" fillId="3" borderId="0" xfId="0" applyFont="1" applyFill="1" applyBorder="1" applyAlignment="1">
      <alignment vertical="center"/>
    </xf>
    <xf numFmtId="0" fontId="9" fillId="3" borderId="0" xfId="0" applyFont="1" applyFill="1" applyBorder="1" applyAlignment="1">
      <alignment vertical="center"/>
    </xf>
    <xf numFmtId="0" fontId="9" fillId="3" borderId="0" xfId="0" applyFont="1" applyFill="1" applyBorder="1" applyAlignment="1">
      <alignment vertical="top"/>
    </xf>
    <xf numFmtId="165" fontId="8" fillId="3" borderId="0" xfId="0" applyNumberFormat="1" applyFont="1" applyFill="1" applyBorder="1" applyAlignment="1">
      <alignment vertical="center"/>
    </xf>
    <xf numFmtId="164" fontId="4" fillId="3" borderId="0" xfId="0" applyNumberFormat="1" applyFont="1" applyFill="1" applyBorder="1"/>
    <xf numFmtId="0" fontId="4" fillId="3" borderId="2" xfId="0" applyFont="1" applyFill="1" applyBorder="1"/>
    <xf numFmtId="165" fontId="4" fillId="3" borderId="8" xfId="0" applyNumberFormat="1" applyFont="1" applyFill="1" applyBorder="1"/>
    <xf numFmtId="2" fontId="4" fillId="3" borderId="0" xfId="0" applyNumberFormat="1" applyFont="1" applyFill="1" applyBorder="1"/>
    <xf numFmtId="165" fontId="4" fillId="6" borderId="8" xfId="0" applyNumberFormat="1" applyFont="1" applyFill="1" applyBorder="1"/>
    <xf numFmtId="165" fontId="4" fillId="3" borderId="0" xfId="0" applyNumberFormat="1" applyFont="1" applyFill="1" applyBorder="1"/>
    <xf numFmtId="0" fontId="4" fillId="3" borderId="0" xfId="0" applyFont="1" applyFill="1" applyBorder="1" applyAlignment="1">
      <alignment vertical="center" wrapText="1"/>
    </xf>
    <xf numFmtId="0" fontId="4" fillId="3" borderId="0" xfId="0" applyFont="1" applyFill="1" applyBorder="1" applyAlignment="1">
      <alignment vertical="top" wrapText="1"/>
    </xf>
    <xf numFmtId="10" fontId="4" fillId="3" borderId="8" xfId="0" applyNumberFormat="1" applyFont="1" applyFill="1" applyBorder="1"/>
    <xf numFmtId="1" fontId="7" fillId="6" borderId="2" xfId="0" applyNumberFormat="1" applyFont="1" applyFill="1" applyBorder="1" applyAlignment="1">
      <alignment horizontal="center" vertical="center" wrapText="1"/>
    </xf>
    <xf numFmtId="10" fontId="7" fillId="6" borderId="2" xfId="0" applyNumberFormat="1" applyFont="1" applyFill="1" applyBorder="1" applyAlignment="1">
      <alignment horizontal="center" vertical="center" wrapText="1"/>
    </xf>
    <xf numFmtId="1" fontId="4" fillId="3" borderId="2" xfId="0" applyNumberFormat="1" applyFont="1" applyFill="1" applyBorder="1"/>
    <xf numFmtId="166" fontId="4" fillId="3" borderId="2" xfId="0" applyNumberFormat="1" applyFont="1" applyFill="1" applyBorder="1"/>
    <xf numFmtId="166" fontId="4" fillId="3" borderId="0" xfId="0" applyNumberFormat="1" applyFont="1" applyFill="1"/>
    <xf numFmtId="10" fontId="4" fillId="3" borderId="2" xfId="0" applyNumberFormat="1" applyFont="1" applyFill="1" applyBorder="1"/>
    <xf numFmtId="1" fontId="4" fillId="3" borderId="9" xfId="0" applyNumberFormat="1" applyFont="1" applyFill="1" applyBorder="1"/>
    <xf numFmtId="166" fontId="4" fillId="3" borderId="9" xfId="0" applyNumberFormat="1" applyFont="1" applyFill="1" applyBorder="1"/>
    <xf numFmtId="0" fontId="4" fillId="4" borderId="13" xfId="0" applyFont="1" applyFill="1" applyBorder="1"/>
    <xf numFmtId="1" fontId="4" fillId="3" borderId="18" xfId="0" applyNumberFormat="1" applyFont="1" applyFill="1" applyBorder="1"/>
    <xf numFmtId="1" fontId="4" fillId="3" borderId="7" xfId="0" applyNumberFormat="1" applyFont="1" applyFill="1" applyBorder="1"/>
    <xf numFmtId="167" fontId="4" fillId="3" borderId="18" xfId="0" applyNumberFormat="1" applyFont="1" applyFill="1" applyBorder="1"/>
    <xf numFmtId="165" fontId="4" fillId="10" borderId="0" xfId="0" applyNumberFormat="1" applyFont="1" applyFill="1"/>
    <xf numFmtId="165" fontId="4" fillId="3" borderId="18" xfId="0" applyNumberFormat="1" applyFont="1" applyFill="1" applyBorder="1"/>
    <xf numFmtId="168" fontId="21" fillId="11" borderId="0" xfId="3" applyNumberFormat="1" applyFont="1" applyFill="1" applyBorder="1" applyAlignment="1" applyProtection="1">
      <alignment horizontal="center" vertical="center"/>
    </xf>
    <xf numFmtId="168" fontId="21" fillId="0" borderId="0" xfId="3" applyNumberFormat="1" applyFont="1" applyFill="1" applyBorder="1" applyAlignment="1" applyProtection="1">
      <alignment horizontal="center" vertical="center"/>
    </xf>
    <xf numFmtId="0" fontId="0" fillId="0" borderId="0" xfId="0" applyAlignment="1">
      <alignment horizontal="center" vertical="center"/>
    </xf>
    <xf numFmtId="6" fontId="0" fillId="0" borderId="0" xfId="0" applyNumberFormat="1" applyAlignment="1">
      <alignment horizontal="center" vertical="center"/>
    </xf>
    <xf numFmtId="0" fontId="0" fillId="11" borderId="0" xfId="0" applyFill="1" applyAlignment="1">
      <alignment horizontal="center" vertical="center"/>
    </xf>
    <xf numFmtId="8" fontId="0" fillId="11" borderId="0" xfId="0" applyNumberFormat="1" applyFill="1" applyAlignment="1">
      <alignment horizontal="center" vertical="center"/>
    </xf>
    <xf numFmtId="6" fontId="0" fillId="11" borderId="0" xfId="0" applyNumberFormat="1" applyFill="1" applyAlignment="1">
      <alignment horizontal="center" vertical="center"/>
    </xf>
    <xf numFmtId="0" fontId="22" fillId="12" borderId="0" xfId="0" applyFont="1" applyFill="1" applyAlignment="1">
      <alignment horizontal="center" vertical="center" wrapText="1"/>
    </xf>
    <xf numFmtId="0" fontId="22" fillId="12" borderId="0" xfId="0" applyFont="1" applyFill="1" applyBorder="1" applyAlignment="1">
      <alignment horizontal="center" vertical="center" wrapText="1"/>
    </xf>
    <xf numFmtId="0" fontId="20" fillId="12" borderId="0" xfId="0" applyFont="1" applyFill="1" applyAlignment="1">
      <alignment horizontal="center"/>
    </xf>
    <xf numFmtId="0" fontId="0" fillId="11" borderId="0" xfId="0" applyFill="1" applyAlignment="1">
      <alignment horizontal="center"/>
    </xf>
    <xf numFmtId="0" fontId="0" fillId="0" borderId="0" xfId="0" applyAlignment="1">
      <alignment horizontal="center"/>
    </xf>
    <xf numFmtId="6" fontId="0" fillId="0" borderId="0" xfId="0" applyNumberFormat="1" applyAlignment="1">
      <alignment horizontal="center"/>
    </xf>
    <xf numFmtId="0" fontId="0" fillId="0" borderId="0" xfId="0" applyAlignment="1">
      <alignment horizontal="left" vertical="center"/>
    </xf>
    <xf numFmtId="0" fontId="0" fillId="11" borderId="0" xfId="0" applyFill="1" applyAlignment="1">
      <alignment horizontal="left" vertical="center"/>
    </xf>
    <xf numFmtId="0" fontId="22" fillId="12" borderId="6" xfId="0" applyFont="1" applyFill="1" applyBorder="1" applyAlignment="1">
      <alignment horizontal="left" vertical="center" wrapText="1"/>
    </xf>
    <xf numFmtId="0" fontId="20" fillId="12" borderId="0" xfId="0" applyFont="1" applyFill="1" applyAlignment="1">
      <alignment horizontal="left"/>
    </xf>
    <xf numFmtId="0" fontId="0" fillId="0" borderId="0" xfId="0" applyAlignment="1">
      <alignment horizontal="left"/>
    </xf>
    <xf numFmtId="169" fontId="4" fillId="3" borderId="0" xfId="0" applyNumberFormat="1" applyFont="1" applyFill="1"/>
    <xf numFmtId="170" fontId="4" fillId="3" borderId="0" xfId="0" applyNumberFormat="1" applyFont="1" applyFill="1"/>
    <xf numFmtId="164" fontId="4" fillId="10" borderId="2" xfId="0" applyNumberFormat="1" applyFont="1" applyFill="1" applyBorder="1"/>
    <xf numFmtId="166" fontId="4" fillId="0" borderId="2" xfId="0" applyNumberFormat="1" applyFont="1" applyBorder="1"/>
    <xf numFmtId="169" fontId="4" fillId="0" borderId="0" xfId="1" applyNumberFormat="1" applyFont="1" applyFill="1"/>
    <xf numFmtId="0" fontId="4" fillId="3" borderId="20" xfId="0" applyFont="1" applyFill="1" applyBorder="1"/>
    <xf numFmtId="0" fontId="4" fillId="3" borderId="0" xfId="0" applyFont="1" applyFill="1" applyBorder="1"/>
    <xf numFmtId="0" fontId="4" fillId="3" borderId="19" xfId="0" applyFont="1" applyFill="1" applyBorder="1"/>
    <xf numFmtId="0" fontId="4" fillId="10" borderId="0" xfId="0" applyFont="1" applyFill="1" applyBorder="1"/>
    <xf numFmtId="0" fontId="4" fillId="0" borderId="2" xfId="0" applyFont="1" applyBorder="1"/>
    <xf numFmtId="1" fontId="25" fillId="4" borderId="2" xfId="0" applyNumberFormat="1" applyFont="1" applyFill="1" applyBorder="1" applyAlignment="1">
      <alignment horizontal="center"/>
    </xf>
    <xf numFmtId="0" fontId="4" fillId="4" borderId="2" xfId="0" applyFont="1" applyFill="1" applyBorder="1" applyAlignment="1">
      <alignment horizontal="left" vertical="center"/>
    </xf>
    <xf numFmtId="1" fontId="4" fillId="4" borderId="2" xfId="0" applyNumberFormat="1" applyFont="1" applyFill="1" applyBorder="1" applyAlignment="1">
      <alignment horizontal="center" vertical="center" wrapText="1"/>
    </xf>
    <xf numFmtId="0" fontId="4" fillId="4" borderId="2" xfId="0" applyFont="1" applyFill="1" applyBorder="1" applyAlignment="1">
      <alignment horizontal="center" vertical="center"/>
    </xf>
    <xf numFmtId="164" fontId="4" fillId="7" borderId="2" xfId="0" applyNumberFormat="1" applyFont="1" applyFill="1" applyBorder="1" applyAlignment="1" applyProtection="1">
      <alignment horizontal="center" vertical="center"/>
      <protection locked="0"/>
    </xf>
    <xf numFmtId="0" fontId="4" fillId="4" borderId="2" xfId="0" applyFont="1" applyFill="1" applyBorder="1" applyAlignment="1">
      <alignment horizontal="left" vertical="center" wrapText="1"/>
    </xf>
    <xf numFmtId="1" fontId="4" fillId="4" borderId="2" xfId="0" applyNumberFormat="1" applyFont="1" applyFill="1" applyBorder="1" applyAlignment="1">
      <alignment horizontal="center" vertical="center"/>
    </xf>
    <xf numFmtId="165" fontId="25" fillId="4" borderId="2" xfId="0" applyNumberFormat="1" applyFont="1" applyFill="1" applyBorder="1"/>
    <xf numFmtId="0" fontId="10" fillId="3" borderId="0" xfId="0" applyFont="1" applyFill="1" applyAlignment="1">
      <alignment vertical="center" wrapText="1"/>
    </xf>
    <xf numFmtId="0" fontId="9" fillId="3" borderId="3" xfId="0" applyFont="1" applyFill="1" applyBorder="1"/>
    <xf numFmtId="1" fontId="9" fillId="3" borderId="3" xfId="0" applyNumberFormat="1" applyFont="1" applyFill="1" applyBorder="1"/>
    <xf numFmtId="164" fontId="9" fillId="3" borderId="3" xfId="0" applyNumberFormat="1" applyFont="1" applyFill="1" applyBorder="1"/>
    <xf numFmtId="2" fontId="9" fillId="3" borderId="3" xfId="0" applyNumberFormat="1" applyFont="1" applyFill="1" applyBorder="1"/>
    <xf numFmtId="0" fontId="4" fillId="4" borderId="10" xfId="0" applyFont="1" applyFill="1" applyBorder="1"/>
    <xf numFmtId="1" fontId="4" fillId="4" borderId="10" xfId="0" applyNumberFormat="1" applyFont="1" applyFill="1" applyBorder="1"/>
    <xf numFmtId="164" fontId="4" fillId="4" borderId="10" xfId="0" applyNumberFormat="1" applyFont="1" applyFill="1" applyBorder="1"/>
    <xf numFmtId="0" fontId="3" fillId="3" borderId="1" xfId="0" applyFont="1" applyFill="1" applyBorder="1" applyAlignment="1">
      <alignment vertical="center" wrapText="1"/>
    </xf>
    <xf numFmtId="0" fontId="4" fillId="4" borderId="26" xfId="0" applyFont="1" applyFill="1" applyBorder="1" applyAlignment="1" applyProtection="1">
      <alignment vertical="center" wrapText="1"/>
      <protection locked="0"/>
    </xf>
    <xf numFmtId="0" fontId="4" fillId="4" borderId="28" xfId="0" applyFont="1" applyFill="1" applyBorder="1" applyAlignment="1" applyProtection="1">
      <alignment vertical="center" wrapText="1"/>
      <protection locked="0"/>
    </xf>
    <xf numFmtId="0" fontId="4" fillId="3" borderId="30" xfId="0" applyFont="1" applyFill="1" applyBorder="1" applyAlignment="1" applyProtection="1">
      <alignment vertical="center" wrapText="1"/>
      <protection locked="0"/>
    </xf>
    <xf numFmtId="0" fontId="4" fillId="3" borderId="31" xfId="0" applyFont="1" applyFill="1" applyBorder="1" applyAlignment="1" applyProtection="1">
      <alignment vertical="center" wrapText="1"/>
      <protection locked="0"/>
    </xf>
    <xf numFmtId="0" fontId="4" fillId="4" borderId="24" xfId="0" applyFont="1" applyFill="1" applyBorder="1" applyAlignment="1" applyProtection="1">
      <alignment vertical="center" wrapText="1"/>
      <protection locked="0"/>
    </xf>
    <xf numFmtId="0" fontId="7" fillId="5" borderId="0" xfId="0" applyFont="1" applyFill="1" applyBorder="1" applyAlignment="1">
      <alignment horizontal="center"/>
    </xf>
    <xf numFmtId="10" fontId="4" fillId="0" borderId="8" xfId="0" applyNumberFormat="1" applyFont="1" applyBorder="1"/>
    <xf numFmtId="0" fontId="0" fillId="14" borderId="0" xfId="0" applyFill="1"/>
    <xf numFmtId="0" fontId="0" fillId="14" borderId="0" xfId="0" applyFill="1" applyAlignment="1">
      <alignment horizontal="center"/>
    </xf>
    <xf numFmtId="0" fontId="4" fillId="14" borderId="0" xfId="0" applyFont="1" applyFill="1"/>
    <xf numFmtId="1" fontId="4" fillId="14" borderId="0" xfId="0" applyNumberFormat="1" applyFont="1" applyFill="1"/>
    <xf numFmtId="165" fontId="4" fillId="4" borderId="2" xfId="0" applyNumberFormat="1" applyFont="1" applyFill="1" applyBorder="1" applyProtection="1">
      <protection hidden="1"/>
    </xf>
    <xf numFmtId="166" fontId="4" fillId="4" borderId="2" xfId="0" applyNumberFormat="1" applyFont="1" applyFill="1" applyBorder="1" applyProtection="1">
      <protection hidden="1"/>
    </xf>
    <xf numFmtId="2" fontId="4" fillId="4" borderId="2" xfId="0" applyNumberFormat="1" applyFont="1" applyFill="1" applyBorder="1" applyProtection="1">
      <protection hidden="1"/>
    </xf>
    <xf numFmtId="165" fontId="4" fillId="6" borderId="2" xfId="0" applyNumberFormat="1" applyFont="1" applyFill="1" applyBorder="1" applyProtection="1">
      <protection hidden="1"/>
    </xf>
    <xf numFmtId="10" fontId="4" fillId="6" borderId="2" xfId="0" applyNumberFormat="1" applyFont="1" applyFill="1" applyBorder="1" applyProtection="1">
      <protection hidden="1"/>
    </xf>
    <xf numFmtId="0" fontId="4" fillId="7" borderId="30" xfId="0" applyFont="1" applyFill="1" applyBorder="1" applyAlignment="1" applyProtection="1">
      <alignment vertical="center" wrapText="1"/>
      <protection hidden="1"/>
    </xf>
    <xf numFmtId="0" fontId="4" fillId="7" borderId="42" xfId="0" applyFont="1" applyFill="1" applyBorder="1" applyAlignment="1" applyProtection="1">
      <alignment vertical="center" wrapText="1"/>
      <protection hidden="1"/>
    </xf>
    <xf numFmtId="0" fontId="4" fillId="7" borderId="12" xfId="0" applyFont="1" applyFill="1" applyBorder="1" applyAlignment="1" applyProtection="1">
      <alignment vertical="center" wrapText="1"/>
      <protection hidden="1"/>
    </xf>
    <xf numFmtId="0" fontId="4" fillId="7" borderId="17" xfId="0" applyFont="1" applyFill="1" applyBorder="1" applyAlignment="1" applyProtection="1">
      <alignment vertical="center" wrapText="1"/>
      <protection hidden="1"/>
    </xf>
    <xf numFmtId="0" fontId="5" fillId="4" borderId="15" xfId="0" applyFont="1" applyFill="1" applyBorder="1" applyAlignment="1" applyProtection="1">
      <alignment vertical="center" wrapText="1"/>
      <protection locked="0"/>
    </xf>
    <xf numFmtId="0" fontId="5" fillId="4" borderId="16" xfId="0" applyFont="1" applyFill="1" applyBorder="1" applyAlignment="1" applyProtection="1">
      <alignment vertical="center" wrapText="1"/>
      <protection locked="0"/>
    </xf>
    <xf numFmtId="0" fontId="5" fillId="4" borderId="14" xfId="0" applyFont="1" applyFill="1" applyBorder="1" applyAlignment="1" applyProtection="1">
      <alignment vertical="center"/>
      <protection locked="0"/>
    </xf>
    <xf numFmtId="1" fontId="4" fillId="2" borderId="2" xfId="0" applyNumberFormat="1" applyFont="1" applyFill="1" applyBorder="1" applyAlignment="1" applyProtection="1">
      <alignment horizontal="center"/>
      <protection hidden="1"/>
    </xf>
    <xf numFmtId="0" fontId="4" fillId="4" borderId="37" xfId="0" applyFont="1" applyFill="1" applyBorder="1" applyAlignment="1" applyProtection="1">
      <alignment horizontal="center" vertical="center" wrapText="1"/>
      <protection locked="0"/>
    </xf>
    <xf numFmtId="0" fontId="4" fillId="4" borderId="39" xfId="0" applyFont="1" applyFill="1" applyBorder="1" applyAlignment="1" applyProtection="1">
      <alignment horizontal="center" vertical="center" wrapText="1"/>
      <protection locked="0"/>
    </xf>
    <xf numFmtId="0" fontId="4" fillId="3" borderId="41" xfId="0" applyFont="1" applyFill="1" applyBorder="1" applyAlignment="1" applyProtection="1">
      <alignment horizontal="center" vertical="center" wrapText="1"/>
      <protection locked="0"/>
    </xf>
    <xf numFmtId="0" fontId="4" fillId="3" borderId="40" xfId="0" applyFont="1" applyFill="1" applyBorder="1" applyAlignment="1" applyProtection="1">
      <alignment horizontal="center" vertical="center" wrapText="1"/>
      <protection locked="0"/>
    </xf>
    <xf numFmtId="0" fontId="4" fillId="4" borderId="38" xfId="0" applyFont="1" applyFill="1" applyBorder="1" applyAlignment="1" applyProtection="1">
      <alignment horizontal="center" vertical="top" wrapText="1"/>
      <protection locked="0"/>
    </xf>
    <xf numFmtId="165" fontId="25" fillId="0" borderId="2" xfId="0" applyNumberFormat="1" applyFont="1" applyBorder="1"/>
    <xf numFmtId="2" fontId="6" fillId="6" borderId="2" xfId="0" applyNumberFormat="1" applyFont="1" applyFill="1" applyBorder="1" applyAlignment="1">
      <alignment horizontal="center" vertical="center" wrapText="1"/>
    </xf>
    <xf numFmtId="164" fontId="6" fillId="6" borderId="2" xfId="0" applyNumberFormat="1" applyFont="1" applyFill="1" applyBorder="1" applyAlignment="1">
      <alignment horizontal="center" vertical="center" wrapText="1"/>
    </xf>
    <xf numFmtId="0" fontId="6" fillId="6" borderId="2" xfId="0" applyFont="1" applyFill="1" applyBorder="1" applyAlignment="1">
      <alignment horizontal="center" vertical="center" wrapText="1"/>
    </xf>
    <xf numFmtId="0" fontId="6" fillId="6" borderId="2" xfId="0" applyFont="1" applyFill="1" applyBorder="1" applyAlignment="1">
      <alignment horizontal="center" vertical="center"/>
    </xf>
    <xf numFmtId="165" fontId="6" fillId="6" borderId="2" xfId="0" applyNumberFormat="1" applyFont="1" applyFill="1" applyBorder="1" applyAlignment="1">
      <alignment horizontal="center" vertical="center" wrapText="1"/>
    </xf>
    <xf numFmtId="165" fontId="6" fillId="6" borderId="2" xfId="0" applyNumberFormat="1" applyFont="1" applyFill="1" applyBorder="1" applyAlignment="1">
      <alignment horizontal="center" vertical="center"/>
    </xf>
    <xf numFmtId="10" fontId="6" fillId="6" borderId="2" xfId="0" applyNumberFormat="1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/>
    </xf>
    <xf numFmtId="0" fontId="9" fillId="3" borderId="3" xfId="0" applyFont="1" applyFill="1" applyBorder="1" applyAlignment="1">
      <alignment horizontal="left"/>
    </xf>
    <xf numFmtId="0" fontId="33" fillId="5" borderId="36" xfId="0" applyFont="1" applyFill="1" applyBorder="1"/>
    <xf numFmtId="0" fontId="5" fillId="0" borderId="0" xfId="0" applyFont="1"/>
    <xf numFmtId="0" fontId="35" fillId="0" borderId="0" xfId="0" applyFont="1"/>
    <xf numFmtId="0" fontId="0" fillId="0" borderId="0" xfId="0" applyBorder="1" applyAlignment="1">
      <alignment horizontal="left" wrapText="1"/>
    </xf>
    <xf numFmtId="0" fontId="0" fillId="0" borderId="0" xfId="0" applyBorder="1" applyAlignment="1">
      <alignment wrapText="1"/>
    </xf>
    <xf numFmtId="6" fontId="0" fillId="0" borderId="0" xfId="0" applyNumberFormat="1" applyBorder="1" applyAlignment="1">
      <alignment horizontal="center" wrapText="1"/>
    </xf>
    <xf numFmtId="0" fontId="0" fillId="0" borderId="0" xfId="0" applyAlignment="1">
      <alignment horizontal="left" vertical="center" wrapText="1" indent="1"/>
    </xf>
    <xf numFmtId="0" fontId="0" fillId="0" borderId="0" xfId="0" applyBorder="1" applyAlignment="1">
      <alignment horizontal="left" vertical="center" indent="1"/>
    </xf>
    <xf numFmtId="6" fontId="0" fillId="0" borderId="0" xfId="0" applyNumberFormat="1" applyBorder="1" applyAlignment="1">
      <alignment horizontal="center" vertical="center"/>
    </xf>
    <xf numFmtId="8" fontId="0" fillId="0" borderId="0" xfId="0" applyNumberFormat="1" applyBorder="1" applyAlignment="1">
      <alignment horizontal="center" vertical="center"/>
    </xf>
    <xf numFmtId="0" fontId="0" fillId="0" borderId="0" xfId="0" applyAlignment="1">
      <alignment horizontal="left" wrapText="1" indent="1"/>
    </xf>
    <xf numFmtId="0" fontId="4" fillId="4" borderId="2" xfId="0" applyFont="1" applyFill="1" applyBorder="1" applyAlignment="1">
      <alignment horizontal="left"/>
    </xf>
    <xf numFmtId="0" fontId="4" fillId="0" borderId="2" xfId="0" applyFont="1" applyBorder="1" applyAlignment="1">
      <alignment horizontal="left" vertical="center"/>
    </xf>
    <xf numFmtId="0" fontId="35" fillId="0" borderId="0" xfId="0" applyFont="1" applyAlignment="1">
      <alignment horizontal="center"/>
    </xf>
    <xf numFmtId="0" fontId="0" fillId="0" borderId="35" xfId="0" applyBorder="1" applyAlignment="1">
      <alignment horizontal="left" vertical="center" indent="1"/>
    </xf>
    <xf numFmtId="0" fontId="0" fillId="0" borderId="35" xfId="0" applyBorder="1" applyAlignment="1">
      <alignment horizontal="left" vertical="center" wrapText="1" indent="1"/>
    </xf>
    <xf numFmtId="0" fontId="0" fillId="0" borderId="0" xfId="0" applyAlignment="1">
      <alignment horizontal="left" vertical="top" wrapText="1"/>
    </xf>
    <xf numFmtId="0" fontId="4" fillId="4" borderId="0" xfId="0" applyFont="1" applyFill="1" applyBorder="1" applyAlignment="1">
      <alignment horizontal="left"/>
    </xf>
    <xf numFmtId="0" fontId="0" fillId="0" borderId="0" xfId="0" applyBorder="1" applyAlignment="1">
      <alignment horizontal="left" vertical="center" wrapText="1" indent="1"/>
    </xf>
    <xf numFmtId="0" fontId="4" fillId="4" borderId="48" xfId="0" applyFont="1" applyFill="1" applyBorder="1" applyAlignment="1" applyProtection="1">
      <alignment vertical="center" wrapText="1"/>
      <protection locked="0"/>
    </xf>
    <xf numFmtId="0" fontId="4" fillId="4" borderId="49" xfId="0" applyFont="1" applyFill="1" applyBorder="1" applyAlignment="1" applyProtection="1">
      <alignment vertical="center" wrapText="1"/>
      <protection locked="0"/>
    </xf>
    <xf numFmtId="0" fontId="4" fillId="3" borderId="50" xfId="0" applyFont="1" applyFill="1" applyBorder="1" applyAlignment="1" applyProtection="1">
      <alignment vertical="center" wrapText="1"/>
      <protection locked="0"/>
    </xf>
    <xf numFmtId="0" fontId="4" fillId="3" borderId="51" xfId="0" applyFont="1" applyFill="1" applyBorder="1" applyAlignment="1" applyProtection="1">
      <alignment vertical="center" wrapText="1"/>
      <protection locked="0"/>
    </xf>
    <xf numFmtId="0" fontId="4" fillId="4" borderId="52" xfId="0" applyFont="1" applyFill="1" applyBorder="1" applyAlignment="1" applyProtection="1">
      <alignment vertical="center" wrapText="1"/>
      <protection locked="0"/>
    </xf>
    <xf numFmtId="0" fontId="4" fillId="7" borderId="44" xfId="0" applyFont="1" applyFill="1" applyBorder="1" applyAlignment="1" applyProtection="1">
      <alignment vertical="center" wrapText="1"/>
      <protection hidden="1"/>
    </xf>
    <xf numFmtId="0" fontId="4" fillId="7" borderId="53" xfId="0" applyFont="1" applyFill="1" applyBorder="1" applyAlignment="1" applyProtection="1">
      <alignment vertical="center" wrapText="1"/>
      <protection hidden="1"/>
    </xf>
    <xf numFmtId="1" fontId="4" fillId="3" borderId="0" xfId="0" applyNumberFormat="1" applyFont="1" applyFill="1" applyAlignment="1">
      <alignment horizontal="right"/>
    </xf>
    <xf numFmtId="165" fontId="4" fillId="3" borderId="0" xfId="0" applyNumberFormat="1" applyFont="1" applyFill="1" applyAlignment="1">
      <alignment horizontal="right"/>
    </xf>
    <xf numFmtId="0" fontId="7" fillId="5" borderId="0" xfId="0" applyFont="1" applyFill="1" applyBorder="1" applyAlignment="1">
      <alignment horizontal="right"/>
    </xf>
    <xf numFmtId="1" fontId="4" fillId="2" borderId="2" xfId="0" applyNumberFormat="1" applyFont="1" applyFill="1" applyBorder="1" applyAlignment="1" applyProtection="1">
      <alignment horizontal="right"/>
      <protection locked="0"/>
    </xf>
    <xf numFmtId="1" fontId="4" fillId="8" borderId="2" xfId="0" applyNumberFormat="1" applyFont="1" applyFill="1" applyBorder="1" applyAlignment="1" applyProtection="1">
      <alignment horizontal="right"/>
      <protection locked="0"/>
    </xf>
    <xf numFmtId="0" fontId="7" fillId="5" borderId="7" xfId="0" applyFont="1" applyFill="1" applyBorder="1" applyAlignment="1">
      <alignment horizontal="right"/>
    </xf>
    <xf numFmtId="1" fontId="6" fillId="6" borderId="2" xfId="0" applyNumberFormat="1" applyFont="1" applyFill="1" applyBorder="1" applyAlignment="1">
      <alignment horizontal="right" vertical="center"/>
    </xf>
    <xf numFmtId="1" fontId="4" fillId="6" borderId="2" xfId="0" applyNumberFormat="1" applyFont="1" applyFill="1" applyBorder="1" applyAlignment="1" applyProtection="1">
      <alignment horizontal="right"/>
      <protection hidden="1"/>
    </xf>
    <xf numFmtId="0" fontId="4" fillId="3" borderId="11" xfId="0" applyFont="1" applyFill="1" applyBorder="1" applyAlignment="1">
      <alignment horizontal="right" vertical="top" wrapText="1"/>
    </xf>
    <xf numFmtId="0" fontId="4" fillId="3" borderId="0" xfId="0" applyFont="1" applyFill="1" applyBorder="1" applyAlignment="1">
      <alignment horizontal="right" vertical="top" wrapText="1"/>
    </xf>
    <xf numFmtId="9" fontId="4" fillId="15" borderId="18" xfId="1" applyFont="1" applyFill="1" applyBorder="1" applyAlignment="1">
      <alignment horizontal="right"/>
    </xf>
    <xf numFmtId="165" fontId="4" fillId="14" borderId="18" xfId="0" applyNumberFormat="1" applyFont="1" applyFill="1" applyBorder="1" applyAlignment="1" applyProtection="1">
      <alignment horizontal="right"/>
      <protection hidden="1"/>
    </xf>
    <xf numFmtId="165" fontId="4" fillId="3" borderId="18" xfId="0" applyNumberFormat="1" applyFont="1" applyFill="1" applyBorder="1" applyAlignment="1" applyProtection="1">
      <alignment horizontal="right"/>
      <protection hidden="1"/>
    </xf>
    <xf numFmtId="165" fontId="4" fillId="15" borderId="18" xfId="0" applyNumberFormat="1" applyFont="1" applyFill="1" applyBorder="1" applyAlignment="1" applyProtection="1">
      <alignment horizontal="right" vertical="center"/>
      <protection hidden="1"/>
    </xf>
    <xf numFmtId="165" fontId="4" fillId="15" borderId="18" xfId="0" applyNumberFormat="1" applyFont="1" applyFill="1" applyBorder="1" applyAlignment="1" applyProtection="1">
      <alignment horizontal="right"/>
      <protection hidden="1"/>
    </xf>
    <xf numFmtId="10" fontId="4" fillId="0" borderId="18" xfId="0" applyNumberFormat="1" applyFont="1" applyBorder="1" applyAlignment="1" applyProtection="1">
      <alignment horizontal="right"/>
      <protection hidden="1"/>
    </xf>
    <xf numFmtId="10" fontId="4" fillId="15" borderId="18" xfId="0" applyNumberFormat="1" applyFont="1" applyFill="1" applyBorder="1" applyAlignment="1" applyProtection="1">
      <alignment horizontal="right"/>
      <protection hidden="1"/>
    </xf>
    <xf numFmtId="0" fontId="9" fillId="3" borderId="0" xfId="0" applyFont="1" applyFill="1" applyBorder="1" applyAlignment="1">
      <alignment horizontal="left"/>
    </xf>
    <xf numFmtId="0" fontId="8" fillId="3" borderId="0" xfId="0" applyFont="1" applyFill="1" applyBorder="1" applyAlignment="1">
      <alignment vertical="center" wrapText="1"/>
    </xf>
    <xf numFmtId="165" fontId="7" fillId="6" borderId="0" xfId="0" applyNumberFormat="1" applyFont="1" applyFill="1" applyBorder="1" applyAlignment="1">
      <alignment horizontal="center" vertical="center" wrapText="1"/>
    </xf>
    <xf numFmtId="10" fontId="7" fillId="6" borderId="0" xfId="0" applyNumberFormat="1" applyFont="1" applyFill="1" applyBorder="1" applyAlignment="1">
      <alignment horizontal="center" vertical="center" wrapText="1"/>
    </xf>
    <xf numFmtId="10" fontId="23" fillId="6" borderId="0" xfId="0" applyNumberFormat="1" applyFont="1" applyFill="1" applyBorder="1" applyAlignment="1">
      <alignment horizontal="center" vertical="center" wrapText="1"/>
    </xf>
    <xf numFmtId="10" fontId="24" fillId="6" borderId="0" xfId="0" applyNumberFormat="1" applyFont="1" applyFill="1" applyBorder="1" applyAlignment="1">
      <alignment horizontal="center" vertical="center" wrapText="1"/>
    </xf>
    <xf numFmtId="165" fontId="7" fillId="6" borderId="6" xfId="0" applyNumberFormat="1" applyFont="1" applyFill="1" applyBorder="1" applyAlignment="1">
      <alignment horizontal="center" vertical="center" wrapText="1"/>
    </xf>
    <xf numFmtId="165" fontId="4" fillId="13" borderId="0" xfId="0" applyNumberFormat="1" applyFont="1" applyFill="1" applyBorder="1"/>
    <xf numFmtId="164" fontId="4" fillId="13" borderId="0" xfId="0" applyNumberFormat="1" applyFont="1" applyFill="1" applyBorder="1"/>
    <xf numFmtId="49" fontId="4" fillId="7" borderId="0" xfId="0" applyNumberFormat="1" applyFont="1" applyFill="1" applyBorder="1" applyAlignment="1" applyProtection="1">
      <alignment horizontal="left"/>
      <protection hidden="1"/>
    </xf>
    <xf numFmtId="49" fontId="4" fillId="7" borderId="5" xfId="0" applyNumberFormat="1" applyFont="1" applyFill="1" applyBorder="1" applyAlignment="1" applyProtection="1">
      <alignment horizontal="left"/>
      <protection hidden="1"/>
    </xf>
    <xf numFmtId="14" fontId="4" fillId="7" borderId="5" xfId="0" applyNumberFormat="1" applyFont="1" applyFill="1" applyBorder="1" applyAlignment="1" applyProtection="1">
      <alignment horizontal="left"/>
      <protection hidden="1"/>
    </xf>
    <xf numFmtId="49" fontId="4" fillId="7" borderId="31" xfId="0" applyNumberFormat="1" applyFont="1" applyFill="1" applyBorder="1" applyAlignment="1" applyProtection="1">
      <alignment horizontal="left"/>
      <protection hidden="1"/>
    </xf>
    <xf numFmtId="164" fontId="4" fillId="3" borderId="0" xfId="0" applyNumberFormat="1" applyFont="1" applyFill="1" applyBorder="1" applyAlignment="1">
      <alignment vertical="center" wrapText="1"/>
    </xf>
    <xf numFmtId="164" fontId="7" fillId="6" borderId="2" xfId="0" applyNumberFormat="1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left" vertical="center" wrapText="1"/>
    </xf>
    <xf numFmtId="0" fontId="12" fillId="4" borderId="0" xfId="0" applyFont="1" applyFill="1" applyBorder="1" applyAlignment="1">
      <alignment horizontal="center" vertical="center" wrapText="1"/>
    </xf>
    <xf numFmtId="0" fontId="12" fillId="4" borderId="3" xfId="0" applyFont="1" applyFill="1" applyBorder="1" applyAlignment="1">
      <alignment horizontal="center" vertical="center" wrapText="1"/>
    </xf>
    <xf numFmtId="1" fontId="6" fillId="6" borderId="2" xfId="0" applyNumberFormat="1" applyFont="1" applyFill="1" applyBorder="1" applyAlignment="1">
      <alignment horizontal="center" vertical="center"/>
    </xf>
    <xf numFmtId="0" fontId="4" fillId="3" borderId="13" xfId="0" applyFont="1" applyFill="1" applyBorder="1" applyAlignment="1">
      <alignment horizontal="left"/>
    </xf>
    <xf numFmtId="0" fontId="4" fillId="3" borderId="7" xfId="0" applyFont="1" applyFill="1" applyBorder="1" applyAlignment="1">
      <alignment horizontal="left"/>
    </xf>
    <xf numFmtId="0" fontId="4" fillId="3" borderId="8" xfId="0" applyFont="1" applyFill="1" applyBorder="1" applyAlignment="1">
      <alignment horizontal="left"/>
    </xf>
    <xf numFmtId="0" fontId="13" fillId="9" borderId="33" xfId="0" applyFont="1" applyFill="1" applyBorder="1" applyAlignment="1">
      <alignment horizontal="left" vertical="center"/>
    </xf>
    <xf numFmtId="0" fontId="13" fillId="9" borderId="21" xfId="0" applyFont="1" applyFill="1" applyBorder="1" applyAlignment="1">
      <alignment horizontal="left" vertical="center"/>
    </xf>
    <xf numFmtId="0" fontId="13" fillId="9" borderId="34" xfId="0" applyFont="1" applyFill="1" applyBorder="1" applyAlignment="1">
      <alignment horizontal="left" vertical="center"/>
    </xf>
    <xf numFmtId="0" fontId="4" fillId="3" borderId="11" xfId="0" applyFont="1" applyFill="1" applyBorder="1" applyAlignment="1">
      <alignment horizontal="left" vertical="center" wrapText="1"/>
    </xf>
    <xf numFmtId="0" fontId="4" fillId="3" borderId="0" xfId="0" applyFont="1" applyFill="1" applyBorder="1" applyAlignment="1">
      <alignment horizontal="left" vertical="center" wrapText="1"/>
    </xf>
    <xf numFmtId="0" fontId="4" fillId="3" borderId="36" xfId="0" applyFont="1" applyFill="1" applyBorder="1" applyAlignment="1">
      <alignment horizontal="left" vertical="center" wrapText="1"/>
    </xf>
    <xf numFmtId="0" fontId="4" fillId="6" borderId="13" xfId="0" applyFont="1" applyFill="1" applyBorder="1" applyAlignment="1">
      <alignment horizontal="left"/>
    </xf>
    <xf numFmtId="0" fontId="4" fillId="6" borderId="7" xfId="0" applyFont="1" applyFill="1" applyBorder="1" applyAlignment="1">
      <alignment horizontal="left"/>
    </xf>
    <xf numFmtId="0" fontId="4" fillId="6" borderId="8" xfId="0" applyFont="1" applyFill="1" applyBorder="1" applyAlignment="1">
      <alignment horizontal="left"/>
    </xf>
    <xf numFmtId="0" fontId="27" fillId="3" borderId="3" xfId="0" applyFont="1" applyFill="1" applyBorder="1" applyAlignment="1">
      <alignment horizontal="left"/>
    </xf>
    <xf numFmtId="1" fontId="4" fillId="2" borderId="47" xfId="0" applyNumberFormat="1" applyFont="1" applyFill="1" applyBorder="1" applyAlignment="1" applyProtection="1">
      <alignment horizontal="center"/>
      <protection locked="0"/>
    </xf>
    <xf numFmtId="0" fontId="4" fillId="4" borderId="9" xfId="0" applyFont="1" applyFill="1" applyBorder="1" applyAlignment="1">
      <alignment horizontal="left" vertical="center"/>
    </xf>
    <xf numFmtId="0" fontId="4" fillId="18" borderId="2" xfId="0" applyFont="1" applyFill="1" applyBorder="1"/>
    <xf numFmtId="2" fontId="4" fillId="2" borderId="2" xfId="0" applyNumberFormat="1" applyFont="1" applyFill="1" applyBorder="1" applyProtection="1">
      <protection locked="0"/>
    </xf>
    <xf numFmtId="0" fontId="7" fillId="19" borderId="0" xfId="0" applyFont="1" applyFill="1" applyBorder="1"/>
    <xf numFmtId="164" fontId="7" fillId="14" borderId="2" xfId="0" applyNumberFormat="1" applyFont="1" applyFill="1" applyBorder="1" applyAlignment="1">
      <alignment horizontal="center" vertical="center" wrapText="1"/>
    </xf>
    <xf numFmtId="172" fontId="4" fillId="3" borderId="0" xfId="0" applyNumberFormat="1" applyFont="1" applyFill="1"/>
    <xf numFmtId="0" fontId="6" fillId="6" borderId="2" xfId="0" applyFont="1" applyFill="1" applyBorder="1" applyAlignment="1">
      <alignment vertical="center" wrapText="1"/>
    </xf>
    <xf numFmtId="6" fontId="4" fillId="3" borderId="0" xfId="0" applyNumberFormat="1" applyFont="1" applyFill="1" applyAlignment="1">
      <alignment horizontal="center"/>
    </xf>
    <xf numFmtId="0" fontId="4" fillId="6" borderId="0" xfId="0" applyFont="1" applyFill="1" applyBorder="1"/>
    <xf numFmtId="1" fontId="4" fillId="6" borderId="0" xfId="0" applyNumberFormat="1" applyFont="1" applyFill="1" applyBorder="1" applyAlignment="1" applyProtection="1">
      <alignment horizontal="center"/>
      <protection hidden="1"/>
    </xf>
    <xf numFmtId="165" fontId="4" fillId="6" borderId="0" xfId="0" applyNumberFormat="1" applyFont="1" applyFill="1" applyBorder="1"/>
    <xf numFmtId="2" fontId="4" fillId="17" borderId="2" xfId="0" applyNumberFormat="1" applyFont="1" applyFill="1" applyBorder="1" applyProtection="1">
      <protection locked="0"/>
    </xf>
    <xf numFmtId="0" fontId="4" fillId="17" borderId="2" xfId="0" applyFont="1" applyFill="1" applyBorder="1" applyProtection="1">
      <protection locked="0"/>
    </xf>
    <xf numFmtId="2" fontId="4" fillId="7" borderId="2" xfId="0" applyNumberFormat="1" applyFont="1" applyFill="1" applyBorder="1" applyProtection="1">
      <protection locked="0"/>
    </xf>
    <xf numFmtId="171" fontId="4" fillId="0" borderId="2" xfId="0" applyNumberFormat="1" applyFont="1" applyBorder="1" applyProtection="1">
      <protection hidden="1"/>
    </xf>
    <xf numFmtId="2" fontId="4" fillId="0" borderId="2" xfId="0" applyNumberFormat="1" applyFont="1" applyBorder="1" applyProtection="1">
      <protection hidden="1"/>
    </xf>
    <xf numFmtId="0" fontId="6" fillId="20" borderId="2" xfId="0" applyFont="1" applyFill="1" applyBorder="1" applyAlignment="1">
      <alignment horizontal="center" wrapText="1"/>
    </xf>
    <xf numFmtId="0" fontId="4" fillId="18" borderId="2" xfId="0" applyFont="1" applyFill="1" applyBorder="1" applyAlignment="1">
      <alignment horizontal="center"/>
    </xf>
    <xf numFmtId="0" fontId="4" fillId="17" borderId="2" xfId="0" applyFont="1" applyFill="1" applyBorder="1" applyAlignment="1">
      <alignment horizontal="center"/>
    </xf>
    <xf numFmtId="0" fontId="4" fillId="4" borderId="43" xfId="0" applyFont="1" applyFill="1" applyBorder="1"/>
    <xf numFmtId="1" fontId="4" fillId="4" borderId="43" xfId="0" applyNumberFormat="1" applyFont="1" applyFill="1" applyBorder="1"/>
    <xf numFmtId="164" fontId="4" fillId="4" borderId="43" xfId="0" applyNumberFormat="1" applyFont="1" applyFill="1" applyBorder="1"/>
    <xf numFmtId="0" fontId="6" fillId="20" borderId="43" xfId="0" applyFont="1" applyFill="1" applyBorder="1" applyAlignment="1">
      <alignment horizontal="center" wrapText="1"/>
    </xf>
    <xf numFmtId="0" fontId="4" fillId="18" borderId="30" xfId="0" applyFont="1" applyFill="1" applyBorder="1"/>
    <xf numFmtId="0" fontId="4" fillId="4" borderId="61" xfId="0" applyFont="1" applyFill="1" applyBorder="1"/>
    <xf numFmtId="2" fontId="4" fillId="4" borderId="62" xfId="0" applyNumberFormat="1" applyFont="1" applyFill="1" applyBorder="1"/>
    <xf numFmtId="0" fontId="6" fillId="6" borderId="63" xfId="0" applyFont="1" applyFill="1" applyBorder="1" applyAlignment="1">
      <alignment horizontal="left" wrapText="1" indent="1"/>
    </xf>
    <xf numFmtId="2" fontId="6" fillId="6" borderId="64" xfId="0" applyNumberFormat="1" applyFont="1" applyFill="1" applyBorder="1" applyAlignment="1">
      <alignment horizontal="center" wrapText="1"/>
    </xf>
    <xf numFmtId="0" fontId="4" fillId="4" borderId="63" xfId="0" applyFont="1" applyFill="1" applyBorder="1" applyAlignment="1">
      <alignment horizontal="left" indent="2"/>
    </xf>
    <xf numFmtId="2" fontId="4" fillId="4" borderId="64" xfId="0" applyNumberFormat="1" applyFont="1" applyFill="1" applyBorder="1" applyAlignment="1" applyProtection="1">
      <alignment horizontal="center"/>
      <protection hidden="1"/>
    </xf>
    <xf numFmtId="0" fontId="4" fillId="4" borderId="65" xfId="0" applyFont="1" applyFill="1" applyBorder="1" applyAlignment="1">
      <alignment horizontal="center"/>
    </xf>
    <xf numFmtId="0" fontId="4" fillId="4" borderId="66" xfId="0" applyFont="1" applyFill="1" applyBorder="1" applyAlignment="1">
      <alignment horizontal="center"/>
    </xf>
    <xf numFmtId="1" fontId="4" fillId="4" borderId="66" xfId="0" applyNumberFormat="1" applyFont="1" applyFill="1" applyBorder="1" applyAlignment="1">
      <alignment horizontal="center"/>
    </xf>
    <xf numFmtId="164" fontId="4" fillId="4" borderId="66" xfId="0" applyNumberFormat="1" applyFont="1" applyFill="1" applyBorder="1" applyAlignment="1">
      <alignment horizontal="center"/>
    </xf>
    <xf numFmtId="2" fontId="4" fillId="4" borderId="67" xfId="0" applyNumberFormat="1" applyFont="1" applyFill="1" applyBorder="1" applyAlignment="1">
      <alignment horizontal="center"/>
    </xf>
    <xf numFmtId="0" fontId="4" fillId="4" borderId="65" xfId="0" applyFont="1" applyFill="1" applyBorder="1" applyAlignment="1">
      <alignment horizontal="left" indent="2"/>
    </xf>
    <xf numFmtId="0" fontId="4" fillId="4" borderId="66" xfId="0" applyFont="1" applyFill="1" applyBorder="1" applyAlignment="1">
      <alignment horizontal="left" indent="1"/>
    </xf>
    <xf numFmtId="164" fontId="4" fillId="7" borderId="66" xfId="0" applyNumberFormat="1" applyFont="1" applyFill="1" applyBorder="1" applyAlignment="1" applyProtection="1">
      <alignment horizontal="center"/>
      <protection locked="0"/>
    </xf>
    <xf numFmtId="2" fontId="4" fillId="4" borderId="67" xfId="0" applyNumberFormat="1" applyFont="1" applyFill="1" applyBorder="1" applyAlignment="1" applyProtection="1">
      <alignment horizontal="center"/>
      <protection hidden="1"/>
    </xf>
    <xf numFmtId="0" fontId="28" fillId="4" borderId="65" xfId="0" applyFont="1" applyFill="1" applyBorder="1" applyAlignment="1">
      <alignment horizontal="center" vertical="center" wrapText="1"/>
    </xf>
    <xf numFmtId="0" fontId="28" fillId="4" borderId="66" xfId="0" applyFont="1" applyFill="1" applyBorder="1" applyAlignment="1">
      <alignment horizontal="center" vertical="center" wrapText="1"/>
    </xf>
    <xf numFmtId="1" fontId="28" fillId="4" borderId="66" xfId="0" applyNumberFormat="1" applyFont="1" applyFill="1" applyBorder="1" applyAlignment="1">
      <alignment horizontal="center" vertical="center" wrapText="1"/>
    </xf>
    <xf numFmtId="0" fontId="4" fillId="4" borderId="66" xfId="0" applyFont="1" applyFill="1" applyBorder="1" applyAlignment="1">
      <alignment horizontal="center" vertical="center"/>
    </xf>
    <xf numFmtId="164" fontId="4" fillId="7" borderId="66" xfId="0" applyNumberFormat="1" applyFont="1" applyFill="1" applyBorder="1" applyAlignment="1" applyProtection="1">
      <alignment horizontal="center" vertical="center"/>
      <protection locked="0"/>
    </xf>
    <xf numFmtId="2" fontId="4" fillId="4" borderId="67" xfId="0" applyNumberFormat="1" applyFont="1" applyFill="1" applyBorder="1" applyAlignment="1" applyProtection="1">
      <alignment horizontal="center" vertical="center"/>
      <protection hidden="1"/>
    </xf>
    <xf numFmtId="0" fontId="4" fillId="18" borderId="50" xfId="0" applyFont="1" applyFill="1" applyBorder="1"/>
    <xf numFmtId="0" fontId="4" fillId="18" borderId="42" xfId="0" applyFont="1" applyFill="1" applyBorder="1"/>
    <xf numFmtId="0" fontId="6" fillId="20" borderId="61" xfId="0" applyFont="1" applyFill="1" applyBorder="1" applyAlignment="1">
      <alignment horizontal="left" wrapText="1" indent="1"/>
    </xf>
    <xf numFmtId="0" fontId="6" fillId="20" borderId="62" xfId="0" applyFont="1" applyFill="1" applyBorder="1" applyAlignment="1">
      <alignment horizontal="center" wrapText="1"/>
    </xf>
    <xf numFmtId="0" fontId="4" fillId="18" borderId="63" xfId="0" applyFont="1" applyFill="1" applyBorder="1" applyAlignment="1">
      <alignment horizontal="center"/>
    </xf>
    <xf numFmtId="0" fontId="4" fillId="18" borderId="64" xfId="0" applyFont="1" applyFill="1" applyBorder="1" applyAlignment="1">
      <alignment horizontal="center"/>
    </xf>
    <xf numFmtId="0" fontId="4" fillId="18" borderId="65" xfId="0" applyFont="1" applyFill="1" applyBorder="1" applyAlignment="1">
      <alignment horizontal="center"/>
    </xf>
    <xf numFmtId="0" fontId="4" fillId="18" borderId="66" xfId="0" applyFont="1" applyFill="1" applyBorder="1" applyAlignment="1">
      <alignment horizontal="center"/>
    </xf>
    <xf numFmtId="0" fontId="4" fillId="17" borderId="66" xfId="0" applyFont="1" applyFill="1" applyBorder="1" applyAlignment="1">
      <alignment horizontal="center"/>
    </xf>
    <xf numFmtId="0" fontId="4" fillId="18" borderId="67" xfId="0" applyFont="1" applyFill="1" applyBorder="1" applyAlignment="1">
      <alignment horizontal="center"/>
    </xf>
    <xf numFmtId="0" fontId="28" fillId="4" borderId="63" xfId="0" applyFont="1" applyFill="1" applyBorder="1" applyAlignment="1">
      <alignment horizontal="center"/>
    </xf>
    <xf numFmtId="0" fontId="4" fillId="4" borderId="68" xfId="0" applyFont="1" applyFill="1" applyBorder="1"/>
    <xf numFmtId="2" fontId="4" fillId="4" borderId="69" xfId="0" applyNumberFormat="1" applyFont="1" applyFill="1" applyBorder="1"/>
    <xf numFmtId="0" fontId="6" fillId="20" borderId="63" xfId="0" applyFont="1" applyFill="1" applyBorder="1" applyAlignment="1">
      <alignment horizontal="left" wrapText="1" indent="1"/>
    </xf>
    <xf numFmtId="0" fontId="6" fillId="20" borderId="64" xfId="0" applyFont="1" applyFill="1" applyBorder="1" applyAlignment="1">
      <alignment horizontal="center" wrapText="1"/>
    </xf>
    <xf numFmtId="0" fontId="12" fillId="4" borderId="22" xfId="0" applyFont="1" applyFill="1" applyBorder="1" applyAlignment="1">
      <alignment horizontal="center" vertical="center" wrapText="1"/>
    </xf>
    <xf numFmtId="0" fontId="12" fillId="4" borderId="23" xfId="0" applyFont="1" applyFill="1" applyBorder="1" applyAlignment="1">
      <alignment horizontal="center" vertical="center" wrapText="1"/>
    </xf>
    <xf numFmtId="0" fontId="4" fillId="4" borderId="70" xfId="0" applyFont="1" applyFill="1" applyBorder="1" applyAlignment="1">
      <alignment horizontal="center"/>
    </xf>
    <xf numFmtId="0" fontId="4" fillId="4" borderId="71" xfId="0" applyFont="1" applyFill="1" applyBorder="1" applyAlignment="1">
      <alignment horizontal="center"/>
    </xf>
    <xf numFmtId="0" fontId="4" fillId="4" borderId="72" xfId="0" applyFont="1" applyFill="1" applyBorder="1" applyAlignment="1">
      <alignment horizontal="center"/>
    </xf>
    <xf numFmtId="0" fontId="28" fillId="4" borderId="63" xfId="0" applyFont="1" applyFill="1" applyBorder="1" applyAlignment="1">
      <alignment horizontal="center" vertical="center" wrapText="1"/>
    </xf>
    <xf numFmtId="2" fontId="4" fillId="4" borderId="64" xfId="0" applyNumberFormat="1" applyFont="1" applyFill="1" applyBorder="1" applyAlignment="1" applyProtection="1">
      <alignment horizontal="center" vertical="center"/>
      <protection hidden="1"/>
    </xf>
    <xf numFmtId="0" fontId="4" fillId="4" borderId="63" xfId="0" applyFont="1" applyFill="1" applyBorder="1" applyAlignment="1">
      <alignment horizontal="center" vertical="center"/>
    </xf>
    <xf numFmtId="0" fontId="7" fillId="21" borderId="0" xfId="0" applyFont="1" applyFill="1" applyBorder="1"/>
    <xf numFmtId="0" fontId="21" fillId="14" borderId="0" xfId="0" applyFont="1" applyFill="1" applyAlignment="1">
      <alignment horizontal="left"/>
    </xf>
    <xf numFmtId="0" fontId="21" fillId="14" borderId="0" xfId="0" applyFont="1" applyFill="1" applyAlignment="1">
      <alignment horizontal="center"/>
    </xf>
    <xf numFmtId="0" fontId="0" fillId="14" borderId="0" xfId="0" applyFill="1" applyAlignment="1">
      <alignment vertical="center"/>
    </xf>
    <xf numFmtId="10" fontId="4" fillId="3" borderId="18" xfId="1" applyNumberFormat="1" applyFont="1" applyFill="1" applyBorder="1" applyAlignment="1">
      <alignment horizontal="center" vertical="center"/>
    </xf>
    <xf numFmtId="10" fontId="4" fillId="3" borderId="18" xfId="0" applyNumberFormat="1" applyFont="1" applyFill="1" applyBorder="1" applyAlignment="1">
      <alignment horizontal="center" vertical="center"/>
    </xf>
    <xf numFmtId="165" fontId="4" fillId="3" borderId="18" xfId="0" applyNumberFormat="1" applyFont="1" applyFill="1" applyBorder="1" applyAlignment="1">
      <alignment horizontal="center" vertical="center"/>
    </xf>
    <xf numFmtId="165" fontId="4" fillId="3" borderId="0" xfId="0" applyNumberFormat="1" applyFont="1" applyFill="1" applyAlignment="1">
      <alignment horizontal="center" vertical="center"/>
    </xf>
    <xf numFmtId="165" fontId="4" fillId="3" borderId="5" xfId="0" applyNumberFormat="1" applyFont="1" applyFill="1" applyBorder="1" applyAlignment="1">
      <alignment horizontal="center" vertical="center"/>
    </xf>
    <xf numFmtId="164" fontId="4" fillId="3" borderId="0" xfId="0" applyNumberFormat="1" applyFont="1" applyFill="1" applyAlignment="1">
      <alignment horizontal="center" vertical="center"/>
    </xf>
    <xf numFmtId="1" fontId="4" fillId="2" borderId="18" xfId="0" applyNumberFormat="1" applyFont="1" applyFill="1" applyBorder="1" applyAlignment="1" applyProtection="1">
      <alignment horizontal="center"/>
      <protection locked="0"/>
    </xf>
    <xf numFmtId="0" fontId="4" fillId="4" borderId="73" xfId="0" applyFont="1" applyFill="1" applyBorder="1" applyAlignment="1">
      <alignment horizontal="left" vertical="center"/>
    </xf>
    <xf numFmtId="1" fontId="4" fillId="0" borderId="0" xfId="0" applyNumberFormat="1" applyFont="1" applyBorder="1" applyProtection="1">
      <protection locked="0"/>
    </xf>
    <xf numFmtId="1" fontId="4" fillId="0" borderId="0" xfId="0" applyNumberFormat="1" applyFont="1" applyBorder="1" applyAlignment="1" applyProtection="1">
      <alignment horizontal="center"/>
      <protection locked="0"/>
    </xf>
    <xf numFmtId="0" fontId="4" fillId="4" borderId="0" xfId="0" applyFont="1" applyFill="1" applyBorder="1" applyAlignment="1">
      <alignment horizontal="left" vertical="center"/>
    </xf>
    <xf numFmtId="0" fontId="0" fillId="0" borderId="0" xfId="0" applyAlignment="1">
      <alignment horizontal="left" indent="1"/>
    </xf>
    <xf numFmtId="1" fontId="4" fillId="2" borderId="8" xfId="0" applyNumberFormat="1" applyFont="1" applyFill="1" applyBorder="1" applyProtection="1">
      <protection locked="0"/>
    </xf>
    <xf numFmtId="0" fontId="0" fillId="0" borderId="0" xfId="0" applyAlignment="1">
      <alignment vertical="center"/>
    </xf>
    <xf numFmtId="0" fontId="4" fillId="0" borderId="18" xfId="0" applyFont="1" applyBorder="1"/>
    <xf numFmtId="0" fontId="4" fillId="4" borderId="0" xfId="0" applyFont="1" applyFill="1" applyBorder="1"/>
    <xf numFmtId="0" fontId="4" fillId="4" borderId="18" xfId="0" applyFont="1" applyFill="1" applyBorder="1"/>
    <xf numFmtId="173" fontId="0" fillId="0" borderId="0" xfId="5" applyNumberFormat="1" applyFont="1" applyAlignment="1">
      <alignment horizontal="center"/>
    </xf>
    <xf numFmtId="1" fontId="25" fillId="4" borderId="66" xfId="0" applyNumberFormat="1" applyFont="1" applyFill="1" applyBorder="1" applyAlignment="1">
      <alignment horizontal="center"/>
    </xf>
    <xf numFmtId="0" fontId="40" fillId="3" borderId="1" xfId="0" applyFont="1" applyFill="1" applyBorder="1" applyAlignment="1">
      <alignment vertical="center" wrapText="1"/>
    </xf>
    <xf numFmtId="1" fontId="7" fillId="2" borderId="2" xfId="0" applyNumberFormat="1" applyFont="1" applyFill="1" applyBorder="1" applyAlignment="1" applyProtection="1">
      <alignment horizontal="right" vertical="center" wrapText="1"/>
      <protection locked="0"/>
    </xf>
    <xf numFmtId="0" fontId="12" fillId="4" borderId="58" xfId="0" applyFont="1" applyFill="1" applyBorder="1" applyAlignment="1">
      <alignment horizontal="center" vertical="center" wrapText="1"/>
    </xf>
    <xf numFmtId="0" fontId="12" fillId="4" borderId="59" xfId="0" applyFont="1" applyFill="1" applyBorder="1" applyAlignment="1">
      <alignment horizontal="center" vertical="center" wrapText="1"/>
    </xf>
    <xf numFmtId="165" fontId="25" fillId="10" borderId="2" xfId="0" applyNumberFormat="1" applyFont="1" applyFill="1" applyBorder="1"/>
    <xf numFmtId="165" fontId="4" fillId="0" borderId="2" xfId="0" applyNumberFormat="1" applyFont="1" applyBorder="1"/>
    <xf numFmtId="0" fontId="4" fillId="7" borderId="24" xfId="0" applyFont="1" applyFill="1" applyBorder="1" applyAlignment="1" applyProtection="1">
      <alignment horizontal="left" vertical="center" wrapText="1"/>
      <protection locked="0"/>
    </xf>
    <xf numFmtId="0" fontId="0" fillId="0" borderId="24" xfId="0" applyBorder="1" applyAlignment="1">
      <alignment horizontal="left" vertical="center" wrapText="1"/>
    </xf>
    <xf numFmtId="0" fontId="0" fillId="0" borderId="25" xfId="0" applyBorder="1" applyAlignment="1">
      <alignment horizontal="left" vertical="center" wrapText="1"/>
    </xf>
    <xf numFmtId="0" fontId="4" fillId="7" borderId="26" xfId="0" applyFont="1" applyFill="1" applyBorder="1" applyAlignment="1" applyProtection="1">
      <alignment horizontal="left" vertical="center" wrapText="1"/>
      <protection locked="0"/>
    </xf>
    <xf numFmtId="0" fontId="0" fillId="0" borderId="26" xfId="0" applyBorder="1" applyAlignment="1">
      <alignment horizontal="left" vertical="center" wrapText="1"/>
    </xf>
    <xf numFmtId="0" fontId="0" fillId="0" borderId="27" xfId="0" applyBorder="1" applyAlignment="1">
      <alignment horizontal="left" vertical="center" wrapText="1"/>
    </xf>
    <xf numFmtId="0" fontId="4" fillId="7" borderId="28" xfId="0" applyFont="1" applyFill="1" applyBorder="1" applyAlignment="1" applyProtection="1">
      <alignment horizontal="left" vertical="center" wrapText="1"/>
      <protection locked="0"/>
    </xf>
    <xf numFmtId="0" fontId="0" fillId="0" borderId="28" xfId="0" applyBorder="1" applyAlignment="1">
      <alignment horizontal="left" vertical="center" wrapText="1"/>
    </xf>
    <xf numFmtId="0" fontId="0" fillId="0" borderId="29" xfId="0" applyBorder="1" applyAlignment="1">
      <alignment horizontal="left" vertical="center" wrapText="1"/>
    </xf>
    <xf numFmtId="14" fontId="4" fillId="7" borderId="30" xfId="0" applyNumberFormat="1" applyFont="1" applyFill="1" applyBorder="1" applyAlignment="1" applyProtection="1">
      <alignment horizontal="left" vertical="center" wrapText="1"/>
      <protection locked="0"/>
    </xf>
    <xf numFmtId="0" fontId="0" fillId="0" borderId="30" xfId="0" applyBorder="1" applyAlignment="1">
      <alignment horizontal="left" vertical="center" wrapText="1"/>
    </xf>
    <xf numFmtId="0" fontId="0" fillId="0" borderId="42" xfId="0" applyBorder="1" applyAlignment="1">
      <alignment horizontal="left" vertical="center" wrapText="1"/>
    </xf>
    <xf numFmtId="0" fontId="4" fillId="7" borderId="31" xfId="0" applyFont="1" applyFill="1" applyBorder="1" applyAlignment="1" applyProtection="1">
      <alignment horizontal="left" vertical="center" wrapText="1"/>
      <protection locked="0"/>
    </xf>
    <xf numFmtId="0" fontId="0" fillId="0" borderId="31" xfId="0" applyBorder="1" applyAlignment="1">
      <alignment horizontal="left" vertical="center" wrapText="1"/>
    </xf>
    <xf numFmtId="0" fontId="0" fillId="0" borderId="32" xfId="0" applyBorder="1" applyAlignment="1">
      <alignment horizontal="left" vertical="center" wrapText="1"/>
    </xf>
    <xf numFmtId="0" fontId="12" fillId="4" borderId="14" xfId="0" applyFont="1" applyFill="1" applyBorder="1" applyAlignment="1">
      <alignment horizontal="center" vertical="center" wrapText="1"/>
    </xf>
    <xf numFmtId="0" fontId="12" fillId="4" borderId="15" xfId="0" applyFont="1" applyFill="1" applyBorder="1" applyAlignment="1">
      <alignment horizontal="center" vertical="center" wrapText="1"/>
    </xf>
    <xf numFmtId="0" fontId="12" fillId="4" borderId="16" xfId="0" applyFont="1" applyFill="1" applyBorder="1" applyAlignment="1">
      <alignment horizontal="center" vertical="center" wrapText="1"/>
    </xf>
    <xf numFmtId="0" fontId="12" fillId="4" borderId="58" xfId="0" applyFont="1" applyFill="1" applyBorder="1" applyAlignment="1">
      <alignment horizontal="center" vertical="center" wrapText="1"/>
    </xf>
    <xf numFmtId="0" fontId="12" fillId="4" borderId="0" xfId="0" applyFont="1" applyFill="1" applyBorder="1" applyAlignment="1">
      <alignment horizontal="center" vertical="center" wrapText="1"/>
    </xf>
    <xf numFmtId="0" fontId="12" fillId="4" borderId="59" xfId="0" applyFont="1" applyFill="1" applyBorder="1" applyAlignment="1">
      <alignment horizontal="center" vertical="center" wrapText="1"/>
    </xf>
    <xf numFmtId="0" fontId="12" fillId="4" borderId="60" xfId="0" applyFont="1" applyFill="1" applyBorder="1" applyAlignment="1">
      <alignment horizontal="center" vertical="center" wrapText="1"/>
    </xf>
    <xf numFmtId="0" fontId="12" fillId="4" borderId="44" xfId="0" applyFont="1" applyFill="1" applyBorder="1" applyAlignment="1">
      <alignment horizontal="center" vertical="center" wrapText="1"/>
    </xf>
    <xf numFmtId="0" fontId="12" fillId="4" borderId="53" xfId="0" applyFont="1" applyFill="1" applyBorder="1" applyAlignment="1">
      <alignment horizontal="center" vertical="center" wrapText="1"/>
    </xf>
    <xf numFmtId="0" fontId="4" fillId="15" borderId="20" xfId="0" applyFont="1" applyFill="1" applyBorder="1" applyAlignment="1">
      <alignment horizontal="left"/>
    </xf>
    <xf numFmtId="0" fontId="4" fillId="15" borderId="30" xfId="0" applyFont="1" applyFill="1" applyBorder="1" applyAlignment="1">
      <alignment horizontal="left"/>
    </xf>
    <xf numFmtId="0" fontId="4" fillId="15" borderId="57" xfId="0" applyFont="1" applyFill="1" applyBorder="1" applyAlignment="1">
      <alignment horizontal="left"/>
    </xf>
    <xf numFmtId="165" fontId="6" fillId="6" borderId="2" xfId="0" applyNumberFormat="1" applyFont="1" applyFill="1" applyBorder="1" applyAlignment="1">
      <alignment horizontal="center" vertical="center"/>
    </xf>
    <xf numFmtId="165" fontId="7" fillId="6" borderId="2" xfId="0" applyNumberFormat="1" applyFont="1" applyFill="1" applyBorder="1" applyAlignment="1">
      <alignment horizontal="center" vertical="center" wrapText="1"/>
    </xf>
    <xf numFmtId="0" fontId="8" fillId="3" borderId="0" xfId="0" applyFont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horizontal="left" vertical="top" wrapText="1"/>
    </xf>
    <xf numFmtId="0" fontId="4" fillId="15" borderId="18" xfId="0" applyFont="1" applyFill="1" applyBorder="1" applyAlignment="1">
      <alignment horizontal="left"/>
    </xf>
    <xf numFmtId="0" fontId="9" fillId="3" borderId="3" xfId="0" applyFont="1" applyFill="1" applyBorder="1" applyAlignment="1">
      <alignment horizontal="left"/>
    </xf>
    <xf numFmtId="0" fontId="28" fillId="3" borderId="0" xfId="0" applyFont="1" applyFill="1" applyAlignment="1">
      <alignment horizontal="left" vertical="top" wrapText="1"/>
    </xf>
    <xf numFmtId="0" fontId="4" fillId="3" borderId="18" xfId="0" applyFont="1" applyFill="1" applyBorder="1" applyAlignment="1">
      <alignment horizontal="left"/>
    </xf>
    <xf numFmtId="0" fontId="4" fillId="15" borderId="18" xfId="0" applyFont="1" applyFill="1" applyBorder="1" applyAlignment="1">
      <alignment horizontal="left" vertical="center"/>
    </xf>
    <xf numFmtId="164" fontId="6" fillId="6" borderId="2" xfId="0" applyNumberFormat="1" applyFont="1" applyFill="1" applyBorder="1" applyAlignment="1">
      <alignment horizontal="center" vertical="center" wrapText="1"/>
    </xf>
    <xf numFmtId="164" fontId="7" fillId="2" borderId="2" xfId="0" applyNumberFormat="1" applyFont="1" applyFill="1" applyBorder="1" applyAlignment="1">
      <alignment horizontal="center" vertical="center" wrapText="1"/>
    </xf>
    <xf numFmtId="2" fontId="6" fillId="6" borderId="2" xfId="0" applyNumberFormat="1" applyFont="1" applyFill="1" applyBorder="1" applyAlignment="1">
      <alignment horizontal="center" vertical="center" wrapText="1"/>
    </xf>
    <xf numFmtId="2" fontId="7" fillId="6" borderId="2" xfId="0" applyNumberFormat="1" applyFont="1" applyFill="1" applyBorder="1" applyAlignment="1">
      <alignment horizontal="center" vertical="center" wrapText="1"/>
    </xf>
    <xf numFmtId="0" fontId="13" fillId="9" borderId="35" xfId="0" applyFont="1" applyFill="1" applyBorder="1" applyAlignment="1" applyProtection="1">
      <alignment horizontal="left" vertical="center" wrapText="1"/>
      <protection hidden="1"/>
    </xf>
    <xf numFmtId="0" fontId="13" fillId="9" borderId="0" xfId="0" applyFont="1" applyFill="1" applyBorder="1" applyAlignment="1" applyProtection="1">
      <alignment horizontal="left" vertical="center" wrapText="1"/>
      <protection hidden="1"/>
    </xf>
    <xf numFmtId="0" fontId="13" fillId="9" borderId="4" xfId="0" applyFont="1" applyFill="1" applyBorder="1" applyAlignment="1" applyProtection="1">
      <alignment horizontal="left" vertical="center" wrapText="1"/>
      <protection hidden="1"/>
    </xf>
    <xf numFmtId="0" fontId="32" fillId="3" borderId="1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 wrapText="1"/>
    </xf>
    <xf numFmtId="0" fontId="0" fillId="0" borderId="0" xfId="0"/>
    <xf numFmtId="0" fontId="26" fillId="4" borderId="14" xfId="0" applyFont="1" applyFill="1" applyBorder="1" applyAlignment="1">
      <alignment horizontal="center" vertical="center" wrapText="1"/>
    </xf>
    <xf numFmtId="0" fontId="26" fillId="4" borderId="15" xfId="0" applyFont="1" applyFill="1" applyBorder="1" applyAlignment="1">
      <alignment horizontal="center" vertical="center" wrapText="1"/>
    </xf>
    <xf numFmtId="0" fontId="26" fillId="4" borderId="16" xfId="0" applyFont="1" applyFill="1" applyBorder="1" applyAlignment="1">
      <alignment horizontal="center" vertical="center" wrapText="1"/>
    </xf>
    <xf numFmtId="0" fontId="26" fillId="4" borderId="58" xfId="0" applyFont="1" applyFill="1" applyBorder="1" applyAlignment="1">
      <alignment horizontal="center" vertical="center" wrapText="1"/>
    </xf>
    <xf numFmtId="0" fontId="26" fillId="4" borderId="0" xfId="0" applyFont="1" applyFill="1" applyBorder="1" applyAlignment="1">
      <alignment horizontal="center" vertical="center" wrapText="1"/>
    </xf>
    <xf numFmtId="0" fontId="26" fillId="4" borderId="59" xfId="0" applyFont="1" applyFill="1" applyBorder="1" applyAlignment="1">
      <alignment horizontal="center" vertical="center" wrapText="1"/>
    </xf>
    <xf numFmtId="0" fontId="26" fillId="4" borderId="60" xfId="0" applyFont="1" applyFill="1" applyBorder="1" applyAlignment="1">
      <alignment horizontal="center" vertical="center" wrapText="1"/>
    </xf>
    <xf numFmtId="0" fontId="26" fillId="4" borderId="44" xfId="0" applyFont="1" applyFill="1" applyBorder="1" applyAlignment="1">
      <alignment horizontal="center" vertical="center" wrapText="1"/>
    </xf>
    <xf numFmtId="0" fontId="26" fillId="4" borderId="53" xfId="0" applyFont="1" applyFill="1" applyBorder="1" applyAlignment="1">
      <alignment horizontal="center" vertical="center" wrapText="1"/>
    </xf>
    <xf numFmtId="0" fontId="4" fillId="0" borderId="18" xfId="0" applyFont="1" applyBorder="1" applyAlignment="1">
      <alignment horizontal="left"/>
    </xf>
    <xf numFmtId="0" fontId="9" fillId="3" borderId="3" xfId="0" applyFont="1" applyFill="1" applyBorder="1" applyAlignment="1">
      <alignment horizontal="center"/>
    </xf>
    <xf numFmtId="164" fontId="7" fillId="6" borderId="2" xfId="0" applyNumberFormat="1" applyFont="1" applyFill="1" applyBorder="1" applyAlignment="1">
      <alignment horizontal="center" vertical="center" wrapText="1"/>
    </xf>
    <xf numFmtId="165" fontId="6" fillId="6" borderId="2" xfId="0" applyNumberFormat="1" applyFont="1" applyFill="1" applyBorder="1" applyAlignment="1">
      <alignment horizontal="center" vertical="center" wrapText="1"/>
    </xf>
    <xf numFmtId="0" fontId="4" fillId="14" borderId="18" xfId="0" applyFont="1" applyFill="1" applyBorder="1" applyAlignment="1">
      <alignment horizontal="left"/>
    </xf>
    <xf numFmtId="0" fontId="9" fillId="16" borderId="0" xfId="0" applyFont="1" applyFill="1" applyBorder="1" applyAlignment="1" applyProtection="1">
      <alignment horizontal="center" vertical="center"/>
      <protection locked="0"/>
    </xf>
    <xf numFmtId="0" fontId="4" fillId="3" borderId="11" xfId="0" applyFont="1" applyFill="1" applyBorder="1" applyAlignment="1">
      <alignment vertical="center" wrapText="1"/>
    </xf>
    <xf numFmtId="165" fontId="8" fillId="3" borderId="0" xfId="0" applyNumberFormat="1" applyFont="1" applyFill="1" applyBorder="1" applyAlignment="1">
      <alignment horizontal="center"/>
    </xf>
    <xf numFmtId="10" fontId="6" fillId="6" borderId="2" xfId="0" applyNumberFormat="1" applyFont="1" applyFill="1" applyBorder="1" applyAlignment="1">
      <alignment horizontal="center" vertical="center"/>
    </xf>
    <xf numFmtId="166" fontId="7" fillId="6" borderId="2" xfId="0" applyNumberFormat="1" applyFont="1" applyFill="1" applyBorder="1" applyAlignment="1">
      <alignment horizontal="center" vertical="center" wrapText="1"/>
    </xf>
    <xf numFmtId="0" fontId="6" fillId="6" borderId="2" xfId="0" applyFont="1" applyFill="1" applyBorder="1" applyAlignment="1">
      <alignment horizontal="center" vertical="center" wrapText="1"/>
    </xf>
    <xf numFmtId="0" fontId="7" fillId="6" borderId="2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0" fontId="23" fillId="3" borderId="1" xfId="0" applyFont="1" applyFill="1" applyBorder="1" applyAlignment="1">
      <alignment horizontal="center" vertical="center" wrapText="1"/>
    </xf>
    <xf numFmtId="0" fontId="39" fillId="3" borderId="1" xfId="0" applyFont="1" applyFill="1" applyBorder="1" applyAlignment="1">
      <alignment horizontal="center" vertical="center" wrapText="1"/>
    </xf>
    <xf numFmtId="165" fontId="34" fillId="13" borderId="0" xfId="0" applyNumberFormat="1" applyFont="1" applyFill="1" applyBorder="1" applyAlignment="1">
      <alignment horizontal="center"/>
    </xf>
    <xf numFmtId="0" fontId="6" fillId="6" borderId="2" xfId="0" applyFont="1" applyFill="1" applyBorder="1" applyAlignment="1">
      <alignment horizontal="center" vertical="center"/>
    </xf>
    <xf numFmtId="1" fontId="6" fillId="6" borderId="2" xfId="0" applyNumberFormat="1" applyFont="1" applyFill="1" applyBorder="1" applyAlignment="1">
      <alignment horizontal="right" vertical="center"/>
    </xf>
    <xf numFmtId="1" fontId="7" fillId="2" borderId="2" xfId="0" applyNumberFormat="1" applyFont="1" applyFill="1" applyBorder="1" applyAlignment="1">
      <alignment horizontal="right" vertical="center" wrapText="1"/>
    </xf>
    <xf numFmtId="165" fontId="6" fillId="6" borderId="9" xfId="0" applyNumberFormat="1" applyFont="1" applyFill="1" applyBorder="1" applyAlignment="1">
      <alignment horizontal="center" vertical="center"/>
    </xf>
    <xf numFmtId="165" fontId="6" fillId="6" borderId="45" xfId="0" applyNumberFormat="1" applyFont="1" applyFill="1" applyBorder="1" applyAlignment="1">
      <alignment horizontal="center" vertical="center"/>
    </xf>
    <xf numFmtId="165" fontId="6" fillId="6" borderId="43" xfId="0" applyNumberFormat="1" applyFont="1" applyFill="1" applyBorder="1" applyAlignment="1">
      <alignment horizontal="center" vertical="center"/>
    </xf>
    <xf numFmtId="0" fontId="37" fillId="4" borderId="14" xfId="0" applyFont="1" applyFill="1" applyBorder="1" applyAlignment="1" applyProtection="1">
      <alignment horizontal="left" vertical="center" wrapText="1"/>
      <protection locked="0"/>
    </xf>
    <xf numFmtId="0" fontId="37" fillId="4" borderId="15" xfId="0" applyFont="1" applyFill="1" applyBorder="1" applyAlignment="1" applyProtection="1">
      <alignment horizontal="left" vertical="center" wrapText="1"/>
      <protection locked="0"/>
    </xf>
    <xf numFmtId="0" fontId="37" fillId="4" borderId="16" xfId="0" applyFont="1" applyFill="1" applyBorder="1" applyAlignment="1" applyProtection="1">
      <alignment horizontal="left" vertical="center" wrapText="1"/>
      <protection locked="0"/>
    </xf>
    <xf numFmtId="0" fontId="37" fillId="4" borderId="22" xfId="0" applyFont="1" applyFill="1" applyBorder="1" applyAlignment="1" applyProtection="1">
      <alignment horizontal="left" vertical="center" wrapText="1"/>
      <protection locked="0"/>
    </xf>
    <xf numFmtId="0" fontId="37" fillId="4" borderId="3" xfId="0" applyFont="1" applyFill="1" applyBorder="1" applyAlignment="1" applyProtection="1">
      <alignment horizontal="left" vertical="center" wrapText="1"/>
      <protection locked="0"/>
    </xf>
    <xf numFmtId="0" fontId="37" fillId="4" borderId="23" xfId="0" applyFont="1" applyFill="1" applyBorder="1" applyAlignment="1" applyProtection="1">
      <alignment horizontal="left" vertical="center" wrapText="1"/>
      <protection locked="0"/>
    </xf>
    <xf numFmtId="0" fontId="12" fillId="4" borderId="22" xfId="0" applyFont="1" applyFill="1" applyBorder="1" applyAlignment="1">
      <alignment horizontal="center" vertical="center" wrapText="1"/>
    </xf>
    <xf numFmtId="0" fontId="12" fillId="4" borderId="3" xfId="0" applyFont="1" applyFill="1" applyBorder="1" applyAlignment="1">
      <alignment horizontal="center" vertical="center" wrapText="1"/>
    </xf>
    <xf numFmtId="0" fontId="12" fillId="4" borderId="23" xfId="0" applyFont="1" applyFill="1" applyBorder="1" applyAlignment="1">
      <alignment horizontal="center" vertical="center" wrapText="1"/>
    </xf>
    <xf numFmtId="0" fontId="12" fillId="18" borderId="14" xfId="0" applyFont="1" applyFill="1" applyBorder="1" applyAlignment="1">
      <alignment horizontal="center" vertical="center" wrapText="1"/>
    </xf>
    <xf numFmtId="0" fontId="12" fillId="18" borderId="15" xfId="0" applyFont="1" applyFill="1" applyBorder="1" applyAlignment="1">
      <alignment horizontal="center" vertical="center" wrapText="1"/>
    </xf>
    <xf numFmtId="0" fontId="12" fillId="18" borderId="16" xfId="0" applyFont="1" applyFill="1" applyBorder="1" applyAlignment="1">
      <alignment horizontal="center" vertical="center" wrapText="1"/>
    </xf>
    <xf numFmtId="0" fontId="12" fillId="18" borderId="58" xfId="0" applyFont="1" applyFill="1" applyBorder="1" applyAlignment="1">
      <alignment horizontal="center" vertical="center" wrapText="1"/>
    </xf>
    <xf numFmtId="0" fontId="12" fillId="18" borderId="0" xfId="0" applyFont="1" applyFill="1" applyBorder="1" applyAlignment="1">
      <alignment horizontal="center" vertical="center" wrapText="1"/>
    </xf>
    <xf numFmtId="0" fontId="12" fillId="18" borderId="59" xfId="0" applyFont="1" applyFill="1" applyBorder="1" applyAlignment="1">
      <alignment horizontal="center" vertical="center" wrapText="1"/>
    </xf>
    <xf numFmtId="0" fontId="12" fillId="18" borderId="60" xfId="0" applyFont="1" applyFill="1" applyBorder="1" applyAlignment="1">
      <alignment horizontal="center" vertical="center" wrapText="1"/>
    </xf>
    <xf numFmtId="0" fontId="12" fillId="18" borderId="44" xfId="0" applyFont="1" applyFill="1" applyBorder="1" applyAlignment="1">
      <alignment horizontal="center" vertical="center" wrapText="1"/>
    </xf>
    <xf numFmtId="0" fontId="12" fillId="18" borderId="53" xfId="0" applyFont="1" applyFill="1" applyBorder="1" applyAlignment="1">
      <alignment horizontal="center" vertical="center" wrapText="1"/>
    </xf>
    <xf numFmtId="0" fontId="4" fillId="18" borderId="70" xfId="0" applyFont="1" applyFill="1" applyBorder="1" applyAlignment="1">
      <alignment horizontal="center"/>
    </xf>
    <xf numFmtId="0" fontId="4" fillId="18" borderId="71" xfId="0" applyFont="1" applyFill="1" applyBorder="1" applyAlignment="1">
      <alignment horizontal="center"/>
    </xf>
    <xf numFmtId="0" fontId="4" fillId="18" borderId="72" xfId="0" applyFont="1" applyFill="1" applyBorder="1" applyAlignment="1">
      <alignment horizontal="center"/>
    </xf>
    <xf numFmtId="0" fontId="5" fillId="0" borderId="54" xfId="0" applyFont="1" applyBorder="1" applyAlignment="1" applyProtection="1">
      <alignment horizontal="left" vertical="center" wrapText="1"/>
      <protection hidden="1"/>
    </xf>
    <xf numFmtId="0" fontId="5" fillId="0" borderId="55" xfId="0" applyFont="1" applyBorder="1" applyAlignment="1" applyProtection="1">
      <alignment horizontal="left" vertical="center" wrapText="1"/>
      <protection hidden="1"/>
    </xf>
    <xf numFmtId="0" fontId="5" fillId="0" borderId="56" xfId="0" applyFont="1" applyBorder="1" applyAlignment="1" applyProtection="1">
      <alignment horizontal="left" vertical="center" wrapText="1"/>
      <protection hidden="1"/>
    </xf>
    <xf numFmtId="1" fontId="6" fillId="6" borderId="2" xfId="0" applyNumberFormat="1" applyFont="1" applyFill="1" applyBorder="1" applyAlignment="1">
      <alignment horizontal="center" vertical="center"/>
    </xf>
    <xf numFmtId="1" fontId="7" fillId="2" borderId="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0" fillId="11" borderId="0" xfId="0" applyFill="1" applyAlignment="1">
      <alignment horizontal="left" vertical="center"/>
    </xf>
    <xf numFmtId="0" fontId="6" fillId="5" borderId="2" xfId="0" applyFont="1" applyFill="1" applyBorder="1"/>
    <xf numFmtId="1" fontId="6" fillId="5" borderId="2" xfId="0" applyNumberFormat="1" applyFont="1" applyFill="1" applyBorder="1"/>
    <xf numFmtId="10" fontId="6" fillId="5" borderId="2" xfId="0" applyNumberFormat="1" applyFont="1" applyFill="1" applyBorder="1"/>
    <xf numFmtId="165" fontId="6" fillId="5" borderId="2" xfId="0" applyNumberFormat="1" applyFont="1" applyFill="1" applyBorder="1"/>
    <xf numFmtId="0" fontId="0" fillId="0" borderId="35" xfId="0" applyBorder="1" applyAlignment="1">
      <alignment horizontal="left" vertical="center" wrapText="1" indent="1"/>
    </xf>
    <xf numFmtId="0" fontId="4" fillId="4" borderId="9" xfId="0" applyFont="1" applyFill="1" applyBorder="1" applyAlignment="1">
      <alignment horizontal="left" vertical="center"/>
    </xf>
    <xf numFmtId="0" fontId="4" fillId="4" borderId="43" xfId="0" applyFont="1" applyFill="1" applyBorder="1" applyAlignment="1">
      <alignment horizontal="left" vertical="center"/>
    </xf>
    <xf numFmtId="1" fontId="4" fillId="2" borderId="9" xfId="0" applyNumberFormat="1" applyFont="1" applyFill="1" applyBorder="1" applyAlignment="1" applyProtection="1">
      <alignment horizontal="center"/>
      <protection locked="0"/>
    </xf>
    <xf numFmtId="1" fontId="4" fillId="2" borderId="45" xfId="0" applyNumberFormat="1" applyFont="1" applyFill="1" applyBorder="1" applyAlignment="1" applyProtection="1">
      <alignment horizontal="center"/>
      <protection locked="0"/>
    </xf>
    <xf numFmtId="0" fontId="4" fillId="4" borderId="46" xfId="0" applyFont="1" applyFill="1" applyBorder="1" applyAlignment="1">
      <alignment horizontal="left" vertical="center"/>
    </xf>
    <xf numFmtId="0" fontId="4" fillId="4" borderId="47" xfId="0" applyFont="1" applyFill="1" applyBorder="1" applyAlignment="1">
      <alignment horizontal="left" vertical="center"/>
    </xf>
    <xf numFmtId="0" fontId="4" fillId="0" borderId="46" xfId="0" applyFont="1" applyBorder="1" applyAlignment="1">
      <alignment horizontal="left" vertical="center"/>
    </xf>
    <xf numFmtId="0" fontId="4" fillId="0" borderId="47" xfId="0" applyFont="1" applyBorder="1" applyAlignment="1">
      <alignment horizontal="left" vertical="center"/>
    </xf>
    <xf numFmtId="0" fontId="4" fillId="0" borderId="0" xfId="0" applyFont="1" applyBorder="1" applyAlignment="1">
      <alignment horizontal="left" vertical="center"/>
    </xf>
    <xf numFmtId="0" fontId="4" fillId="0" borderId="36" xfId="0" applyFont="1" applyBorder="1" applyAlignment="1">
      <alignment horizontal="left" vertical="center"/>
    </xf>
    <xf numFmtId="0" fontId="4" fillId="4" borderId="21" xfId="0" applyFont="1" applyFill="1" applyBorder="1" applyAlignment="1">
      <alignment horizontal="left" vertical="center"/>
    </xf>
    <xf numFmtId="0" fontId="4" fillId="4" borderId="44" xfId="0" applyFont="1" applyFill="1" applyBorder="1" applyAlignment="1">
      <alignment horizontal="left" vertical="center"/>
    </xf>
    <xf numFmtId="1" fontId="4" fillId="2" borderId="46" xfId="0" applyNumberFormat="1" applyFont="1" applyFill="1" applyBorder="1" applyAlignment="1" applyProtection="1">
      <alignment horizontal="center"/>
      <protection locked="0"/>
    </xf>
    <xf numFmtId="1" fontId="4" fillId="2" borderId="47" xfId="0" applyNumberFormat="1" applyFont="1" applyFill="1" applyBorder="1" applyAlignment="1" applyProtection="1">
      <alignment horizontal="center"/>
      <protection locked="0"/>
    </xf>
    <xf numFmtId="1" fontId="4" fillId="2" borderId="43" xfId="0" applyNumberFormat="1" applyFont="1" applyFill="1" applyBorder="1" applyAlignment="1" applyProtection="1">
      <alignment horizontal="center"/>
      <protection locked="0"/>
    </xf>
  </cellXfs>
  <cellStyles count="6">
    <cellStyle name="Currency" xfId="5" builtinId="4"/>
    <cellStyle name="Currency 2" xfId="3" xr:uid="{EEE9D913-0377-439B-9FB2-4558DC9F454C}"/>
    <cellStyle name="Normal" xfId="0" builtinId="0"/>
    <cellStyle name="Normal 2" xfId="2" xr:uid="{C2727015-0146-4669-912F-02624FF74B59}"/>
    <cellStyle name="Percent" xfId="1" builtinId="5"/>
    <cellStyle name="Percent 2" xfId="4" xr:uid="{88AE0D89-5ACB-454F-AFF1-44FE6AF276F9}"/>
  </cellStyles>
  <dxfs count="0"/>
  <tableStyles count="0" defaultTableStyle="TableStyleMedium2" defaultPivotStyle="PivotStyleLight16"/>
  <colors>
    <mruColors>
      <color rgb="FFFFFFCC"/>
      <color rgb="FF339933"/>
      <color rgb="FFDDDDDD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44450</xdr:colOff>
      <xdr:row>0</xdr:row>
      <xdr:rowOff>73025</xdr:rowOff>
    </xdr:from>
    <xdr:ext cx="714375" cy="714375"/>
    <xdr:pic>
      <xdr:nvPicPr>
        <xdr:cNvPr id="3" name="Logo_637633304630642098">
          <a:extLst>
            <a:ext uri="{FF2B5EF4-FFF2-40B4-BE49-F238E27FC236}">
              <a16:creationId xmlns:a16="http://schemas.microsoft.com/office/drawing/2014/main" id="{F567C46F-35ED-41BD-B9E5-F10F853ED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4450" y="73025"/>
          <a:ext cx="714375" cy="714375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590550</xdr:colOff>
      <xdr:row>1</xdr:row>
      <xdr:rowOff>206375</xdr:rowOff>
    </xdr:from>
    <xdr:ext cx="714375" cy="714375"/>
    <xdr:pic>
      <xdr:nvPicPr>
        <xdr:cNvPr id="2" name="Logo_637633304630642098">
          <a:extLst>
            <a:ext uri="{FF2B5EF4-FFF2-40B4-BE49-F238E27FC236}">
              <a16:creationId xmlns:a16="http://schemas.microsoft.com/office/drawing/2014/main" id="{CB73B5B3-3357-44BA-8F3B-B62CDB7C5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924425" y="396875"/>
          <a:ext cx="714375" cy="714375"/>
        </a:xfrm>
        <a:prstGeom prst="rect">
          <a:avLst/>
        </a:prstGeom>
      </xdr:spPr>
    </xdr:pic>
    <xdr:clientData/>
  </xdr:oneCellAnchor>
  <xdr:oneCellAnchor>
    <xdr:from>
      <xdr:col>5</xdr:col>
      <xdr:colOff>244476</xdr:colOff>
      <xdr:row>47</xdr:row>
      <xdr:rowOff>85726</xdr:rowOff>
    </xdr:from>
    <xdr:ext cx="419100" cy="419100"/>
    <xdr:pic>
      <xdr:nvPicPr>
        <xdr:cNvPr id="4" name="Logo_637633304630642098">
          <a:extLst>
            <a:ext uri="{FF2B5EF4-FFF2-40B4-BE49-F238E27FC236}">
              <a16:creationId xmlns:a16="http://schemas.microsoft.com/office/drawing/2014/main" id="{9BD1C7A7-CA69-48AC-9377-8767BBBEE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492751" y="8524876"/>
          <a:ext cx="419100" cy="41910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215899</xdr:colOff>
      <xdr:row>1</xdr:row>
      <xdr:rowOff>22225</xdr:rowOff>
    </xdr:from>
    <xdr:to>
      <xdr:col>22</xdr:col>
      <xdr:colOff>516381</xdr:colOff>
      <xdr:row>89</xdr:row>
      <xdr:rowOff>111125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C867C19-21B1-4895-8482-D5604FB85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9149" y="212725"/>
          <a:ext cx="12968732" cy="16852900"/>
        </a:xfrm>
        <a:prstGeom prst="rect">
          <a:avLst/>
        </a:prstGeom>
      </xdr:spPr>
    </xdr:pic>
    <xdr:clientData/>
  </xdr:twoCellAnchor>
  <xdr:twoCellAnchor editAs="oneCell">
    <xdr:from>
      <xdr:col>24</xdr:col>
      <xdr:colOff>-1</xdr:colOff>
      <xdr:row>1</xdr:row>
      <xdr:rowOff>0</xdr:rowOff>
    </xdr:from>
    <xdr:to>
      <xdr:col>46</xdr:col>
      <xdr:colOff>51886</xdr:colOff>
      <xdr:row>90</xdr:row>
      <xdr:rowOff>31750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6746819-7C2A-47F9-972B-599552592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477999" y="190500"/>
          <a:ext cx="13323387" cy="16986250"/>
        </a:xfrm>
        <a:prstGeom prst="rect">
          <a:avLst/>
        </a:prstGeom>
      </xdr:spPr>
    </xdr:pic>
    <xdr:clientData/>
  </xdr:twoCellAnchor>
  <xdr:twoCellAnchor editAs="oneCell">
    <xdr:from>
      <xdr:col>46</xdr:col>
      <xdr:colOff>317499</xdr:colOff>
      <xdr:row>0</xdr:row>
      <xdr:rowOff>142875</xdr:rowOff>
    </xdr:from>
    <xdr:to>
      <xdr:col>68</xdr:col>
      <xdr:colOff>9741</xdr:colOff>
      <xdr:row>89</xdr:row>
      <xdr:rowOff>47625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6DFD8E5-9F7D-4E8B-B361-2A45EA34A0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066999" y="142875"/>
          <a:ext cx="12963742" cy="16859250"/>
        </a:xfrm>
        <a:prstGeom prst="rect">
          <a:avLst/>
        </a:prstGeom>
      </xdr:spPr>
    </xdr:pic>
    <xdr:clientData/>
  </xdr:twoCellAnchor>
  <xdr:twoCellAnchor editAs="oneCell">
    <xdr:from>
      <xdr:col>68</xdr:col>
      <xdr:colOff>523874</xdr:colOff>
      <xdr:row>0</xdr:row>
      <xdr:rowOff>0</xdr:rowOff>
    </xdr:from>
    <xdr:to>
      <xdr:col>91</xdr:col>
      <xdr:colOff>206375</xdr:colOff>
      <xdr:row>90</xdr:row>
      <xdr:rowOff>20226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25D1A3B-98A3-4778-A867-F46BB66B3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544874" y="0"/>
          <a:ext cx="13557251" cy="1716522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-1</xdr:rowOff>
    </xdr:from>
    <xdr:to>
      <xdr:col>15</xdr:col>
      <xdr:colOff>74083</xdr:colOff>
      <xdr:row>63</xdr:row>
      <xdr:rowOff>101797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752A8D1-4BFF-4025-8588-7151ABB95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3833" y="179916"/>
          <a:ext cx="8667750" cy="1125663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</xdr:row>
      <xdr:rowOff>0</xdr:rowOff>
    </xdr:from>
    <xdr:to>
      <xdr:col>30</xdr:col>
      <xdr:colOff>151889</xdr:colOff>
      <xdr:row>63</xdr:row>
      <xdr:rowOff>158750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73AC38C-6476-4100-8D68-7DDCC6A383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21333" y="179917"/>
          <a:ext cx="8745556" cy="113135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C3F001-6709-438F-AFFC-F5A4EF482755}">
  <sheetPr codeName="Sheet1"/>
  <dimension ref="A1:AR109"/>
  <sheetViews>
    <sheetView showGridLines="0" tabSelected="1" zoomScale="80" zoomScaleNormal="80" workbookViewId="0">
      <selection activeCell="I77" sqref="I77"/>
    </sheetView>
  </sheetViews>
  <sheetFormatPr defaultColWidth="9.140625" defaultRowHeight="12.75" x14ac:dyDescent="0.2"/>
  <cols>
    <col min="1" max="1" width="13.5703125" style="6" customWidth="1"/>
    <col min="2" max="2" width="12.140625" style="6" customWidth="1"/>
    <col min="3" max="3" width="15.7109375" style="6" hidden="1" customWidth="1"/>
    <col min="4" max="4" width="31.85546875" style="6" customWidth="1"/>
    <col min="5" max="5" width="16.7109375" style="6" customWidth="1"/>
    <col min="6" max="6" width="13.5703125" style="178" customWidth="1"/>
    <col min="7" max="8" width="12.7109375" style="8" hidden="1" customWidth="1"/>
    <col min="9" max="9" width="14.28515625" style="8" customWidth="1"/>
    <col min="10" max="10" width="12.7109375" style="8" customWidth="1"/>
    <col min="11" max="11" width="12.5703125" style="8" customWidth="1"/>
    <col min="12" max="12" width="11.85546875" style="8" customWidth="1"/>
    <col min="13" max="13" width="11.42578125" style="8" hidden="1" customWidth="1"/>
    <col min="14" max="14" width="15.7109375" style="9" hidden="1" customWidth="1"/>
    <col min="15" max="15" width="15.7109375" style="8" hidden="1" customWidth="1"/>
    <col min="16" max="16" width="16.85546875" style="8" customWidth="1"/>
    <col min="17" max="17" width="21" style="8" hidden="1" customWidth="1"/>
    <col min="18" max="18" width="15.7109375" style="8" hidden="1" customWidth="1"/>
    <col min="19" max="19" width="11.28515625" style="10" customWidth="1"/>
    <col min="20" max="20" width="9.7109375" style="11" customWidth="1"/>
    <col min="21" max="21" width="11.42578125" style="11" customWidth="1"/>
    <col min="22" max="24" width="15.7109375" style="10" hidden="1" customWidth="1"/>
    <col min="25" max="25" width="10.7109375" style="10" hidden="1" customWidth="1"/>
    <col min="26" max="33" width="15.7109375" style="10" hidden="1" customWidth="1"/>
    <col min="34" max="34" width="15.7109375" style="8" hidden="1" customWidth="1"/>
    <col min="35" max="35" width="15.7109375" style="6" hidden="1" customWidth="1"/>
    <col min="36" max="36" width="2.85546875" style="6" customWidth="1"/>
    <col min="37" max="37" width="33.42578125" style="6" customWidth="1"/>
    <col min="38" max="38" width="15.7109375" style="6" customWidth="1"/>
    <col min="39" max="39" width="10.7109375" style="7" customWidth="1"/>
    <col min="40" max="40" width="14.5703125" style="6" customWidth="1"/>
    <col min="41" max="41" width="16.28515625" style="10" customWidth="1"/>
    <col min="42" max="42" width="16" style="11" customWidth="1"/>
    <col min="43" max="43" width="9.140625" style="6" customWidth="1"/>
    <col min="44" max="16384" width="9.140625" style="6"/>
  </cols>
  <sheetData>
    <row r="1" spans="1:44" s="3" customFormat="1" ht="85.5" customHeight="1" thickBot="1" x14ac:dyDescent="0.25">
      <c r="B1" s="394"/>
      <c r="C1" s="394"/>
      <c r="D1" s="394"/>
      <c r="E1" s="396" t="s">
        <v>0</v>
      </c>
      <c r="F1" s="396"/>
      <c r="G1" s="112"/>
      <c r="H1" s="112"/>
      <c r="I1" s="112"/>
      <c r="J1" s="320"/>
      <c r="K1" s="112"/>
      <c r="L1" s="112"/>
      <c r="M1" s="112"/>
      <c r="N1" s="395"/>
      <c r="O1" s="395"/>
      <c r="P1" s="395"/>
      <c r="Q1" s="395"/>
      <c r="R1" s="395"/>
      <c r="S1" s="395"/>
      <c r="T1" s="395"/>
      <c r="U1" s="395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2"/>
      <c r="AL1" s="370"/>
      <c r="AM1" s="370"/>
      <c r="AO1" s="4"/>
      <c r="AP1" s="5"/>
    </row>
    <row r="2" spans="1:44" ht="14.25" thickTop="1" thickBot="1" x14ac:dyDescent="0.25">
      <c r="F2" s="178" t="s">
        <v>1</v>
      </c>
    </row>
    <row r="3" spans="1:44" ht="18.95" customHeight="1" thickBot="1" x14ac:dyDescent="0.3">
      <c r="B3" s="135"/>
      <c r="C3" s="133"/>
      <c r="D3" s="133"/>
      <c r="E3" s="134"/>
      <c r="L3" s="202"/>
      <c r="M3" s="50"/>
      <c r="N3" s="397"/>
      <c r="O3" s="397"/>
      <c r="P3" s="397"/>
      <c r="Q3" s="397"/>
      <c r="R3" s="397"/>
      <c r="S3" s="397"/>
      <c r="T3" s="397"/>
      <c r="U3" s="203"/>
      <c r="V3" s="11"/>
      <c r="AH3" s="10"/>
      <c r="AI3" s="8"/>
      <c r="AJ3" s="371" t="s">
        <v>2</v>
      </c>
      <c r="AK3" s="371"/>
      <c r="AL3" s="371"/>
      <c r="AM3" s="371"/>
      <c r="AN3" s="371"/>
      <c r="AO3" s="371"/>
      <c r="AP3" s="372"/>
      <c r="AQ3" s="11"/>
    </row>
    <row r="4" spans="1:44" ht="33" customHeight="1" x14ac:dyDescent="0.2">
      <c r="B4" s="404" t="s">
        <v>3</v>
      </c>
      <c r="C4" s="405"/>
      <c r="D4" s="405"/>
      <c r="E4" s="405"/>
      <c r="F4" s="406"/>
      <c r="L4" s="201" t="s">
        <v>4</v>
      </c>
      <c r="N4" s="197"/>
      <c r="O4" s="197"/>
      <c r="P4" s="197" t="s">
        <v>5</v>
      </c>
      <c r="Q4" s="50"/>
      <c r="R4" s="197"/>
      <c r="S4" s="198" t="s">
        <v>6</v>
      </c>
      <c r="T4" s="199" t="s">
        <v>7</v>
      </c>
      <c r="U4" s="200" t="s">
        <v>8</v>
      </c>
      <c r="V4" s="11"/>
      <c r="AH4" s="10"/>
      <c r="AI4" s="8"/>
      <c r="AJ4" s="371"/>
      <c r="AK4" s="371"/>
      <c r="AL4" s="371"/>
      <c r="AM4" s="371"/>
      <c r="AN4" s="371"/>
      <c r="AO4" s="371"/>
      <c r="AP4" s="372"/>
      <c r="AQ4" s="11"/>
    </row>
    <row r="5" spans="1:44" ht="18.95" customHeight="1" thickBot="1" x14ac:dyDescent="0.25">
      <c r="B5" s="407"/>
      <c r="C5" s="408"/>
      <c r="D5" s="408"/>
      <c r="E5" s="408"/>
      <c r="F5" s="409"/>
      <c r="L5" s="303">
        <v>5000</v>
      </c>
      <c r="M5" s="304"/>
      <c r="N5" s="303"/>
      <c r="O5" s="303"/>
      <c r="P5" s="303">
        <v>12999.99</v>
      </c>
      <c r="Q5" s="305"/>
      <c r="R5" s="306"/>
      <c r="S5" s="301">
        <v>0.03</v>
      </c>
      <c r="T5" s="302">
        <v>0.01</v>
      </c>
      <c r="U5" s="302">
        <v>0.04</v>
      </c>
      <c r="V5" s="11"/>
      <c r="AH5" s="10"/>
      <c r="AI5" s="8"/>
      <c r="AJ5" s="371"/>
      <c r="AK5" s="371"/>
      <c r="AL5" s="371"/>
      <c r="AM5" s="371"/>
      <c r="AN5" s="371"/>
      <c r="AO5" s="371"/>
      <c r="AP5" s="372"/>
      <c r="AQ5" s="11"/>
    </row>
    <row r="6" spans="1:44" ht="18.95" customHeight="1" thickTop="1" thickBot="1" x14ac:dyDescent="0.25">
      <c r="B6" s="137" t="s">
        <v>9</v>
      </c>
      <c r="C6" s="117"/>
      <c r="D6" s="326"/>
      <c r="E6" s="327"/>
      <c r="F6" s="328"/>
      <c r="L6" s="303">
        <v>13000</v>
      </c>
      <c r="M6" s="304"/>
      <c r="N6" s="303"/>
      <c r="O6" s="303"/>
      <c r="P6" s="303">
        <v>20999</v>
      </c>
      <c r="Q6" s="304"/>
      <c r="R6" s="306"/>
      <c r="S6" s="301">
        <v>0.04</v>
      </c>
      <c r="T6" s="302">
        <v>0.01</v>
      </c>
      <c r="U6" s="302">
        <v>0.05</v>
      </c>
      <c r="V6" s="11"/>
      <c r="AH6" s="10"/>
      <c r="AI6" s="8"/>
      <c r="AQ6" s="11"/>
    </row>
    <row r="7" spans="1:44" ht="18.95" customHeight="1" x14ac:dyDescent="0.2">
      <c r="B7" s="141" t="s">
        <v>10</v>
      </c>
      <c r="C7" s="113"/>
      <c r="D7" s="329"/>
      <c r="E7" s="330"/>
      <c r="F7" s="331"/>
      <c r="L7" s="303">
        <v>21000</v>
      </c>
      <c r="M7" s="304"/>
      <c r="N7" s="303"/>
      <c r="O7" s="303"/>
      <c r="P7" s="303">
        <v>28999</v>
      </c>
      <c r="Q7" s="304"/>
      <c r="R7" s="306"/>
      <c r="S7" s="301">
        <v>0.05</v>
      </c>
      <c r="T7" s="302">
        <v>0.01</v>
      </c>
      <c r="U7" s="302">
        <v>0.06</v>
      </c>
      <c r="V7" s="11"/>
      <c r="AH7" s="10"/>
      <c r="AI7" s="8"/>
      <c r="AK7" s="373" t="s">
        <v>11</v>
      </c>
      <c r="AL7" s="374"/>
      <c r="AM7" s="374"/>
      <c r="AN7" s="374"/>
      <c r="AO7" s="374"/>
      <c r="AP7" s="375"/>
      <c r="AQ7" s="11"/>
    </row>
    <row r="8" spans="1:44" ht="18.95" customHeight="1" x14ac:dyDescent="0.2">
      <c r="B8" s="138" t="s">
        <v>12</v>
      </c>
      <c r="C8" s="114"/>
      <c r="D8" s="332"/>
      <c r="E8" s="333"/>
      <c r="F8" s="334"/>
      <c r="L8" s="303">
        <v>29000</v>
      </c>
      <c r="M8" s="304"/>
      <c r="N8" s="303"/>
      <c r="O8" s="303"/>
      <c r="P8" s="303">
        <v>36999</v>
      </c>
      <c r="Q8" s="304"/>
      <c r="R8" s="306"/>
      <c r="S8" s="301">
        <v>0.06</v>
      </c>
      <c r="T8" s="302">
        <v>0.01</v>
      </c>
      <c r="U8" s="302">
        <v>7.0000000000000007E-2</v>
      </c>
      <c r="V8" s="11"/>
      <c r="AH8" s="10"/>
      <c r="AI8" s="8"/>
      <c r="AK8" s="376"/>
      <c r="AL8" s="377"/>
      <c r="AM8" s="377"/>
      <c r="AN8" s="377"/>
      <c r="AO8" s="377"/>
      <c r="AP8" s="378"/>
      <c r="AQ8" s="11"/>
    </row>
    <row r="9" spans="1:44" ht="23.1" customHeight="1" x14ac:dyDescent="0.2">
      <c r="B9" s="139" t="s">
        <v>13</v>
      </c>
      <c r="C9" s="115"/>
      <c r="D9" s="335">
        <f ca="1">TODAY()</f>
        <v>44848</v>
      </c>
      <c r="E9" s="336"/>
      <c r="F9" s="337"/>
      <c r="L9" s="303">
        <v>37000</v>
      </c>
      <c r="M9" s="304"/>
      <c r="N9" s="303"/>
      <c r="O9" s="303"/>
      <c r="P9" s="303">
        <v>44999</v>
      </c>
      <c r="Q9" s="304"/>
      <c r="R9" s="306"/>
      <c r="S9" s="301">
        <v>0.08</v>
      </c>
      <c r="T9" s="302"/>
      <c r="U9" s="302">
        <v>0.08</v>
      </c>
      <c r="V9" s="11"/>
      <c r="AH9" s="10"/>
      <c r="AI9" s="8"/>
      <c r="AK9" s="379"/>
      <c r="AL9" s="380"/>
      <c r="AM9" s="380"/>
      <c r="AN9" s="380"/>
      <c r="AO9" s="380"/>
      <c r="AP9" s="381"/>
      <c r="AQ9" s="11"/>
    </row>
    <row r="10" spans="1:44" ht="26.1" customHeight="1" thickBot="1" x14ac:dyDescent="0.25">
      <c r="B10" s="140" t="s">
        <v>14</v>
      </c>
      <c r="C10" s="116"/>
      <c r="D10" s="338"/>
      <c r="E10" s="339"/>
      <c r="F10" s="340"/>
      <c r="L10" s="303">
        <v>45000</v>
      </c>
      <c r="M10" s="304"/>
      <c r="N10" s="303"/>
      <c r="O10" s="303"/>
      <c r="P10" s="303">
        <v>999999.99</v>
      </c>
      <c r="Q10" s="304"/>
      <c r="R10" s="306"/>
      <c r="S10" s="301">
        <v>0.09</v>
      </c>
      <c r="T10" s="302"/>
      <c r="U10" s="302">
        <v>0.09</v>
      </c>
      <c r="V10" s="11"/>
      <c r="AH10" s="10"/>
      <c r="AI10" s="8"/>
      <c r="AK10" s="253"/>
      <c r="AL10" s="248"/>
      <c r="AM10" s="249"/>
      <c r="AN10" s="248"/>
      <c r="AO10" s="250"/>
      <c r="AP10" s="254"/>
      <c r="AQ10" s="11"/>
    </row>
    <row r="11" spans="1:44" ht="27.6" customHeight="1" x14ac:dyDescent="0.2">
      <c r="N11" s="8"/>
      <c r="R11" s="10"/>
      <c r="S11" s="11"/>
      <c r="U11" s="10"/>
      <c r="AG11" s="8"/>
      <c r="AH11" s="6"/>
      <c r="AK11" s="255" t="s">
        <v>15</v>
      </c>
      <c r="AL11" s="26" t="s">
        <v>16</v>
      </c>
      <c r="AM11" s="27" t="s">
        <v>17</v>
      </c>
      <c r="AN11" s="26" t="s">
        <v>18</v>
      </c>
      <c r="AO11" s="28" t="s">
        <v>19</v>
      </c>
      <c r="AP11" s="256" t="s">
        <v>20</v>
      </c>
    </row>
    <row r="12" spans="1:44" ht="32.450000000000003" customHeight="1" thickBot="1" x14ac:dyDescent="0.4">
      <c r="B12" s="383" t="s">
        <v>21</v>
      </c>
      <c r="C12" s="383"/>
      <c r="D12" s="383"/>
      <c r="E12" s="7"/>
      <c r="N12" s="8"/>
      <c r="R12" s="10"/>
      <c r="S12" s="11"/>
      <c r="U12" s="10"/>
      <c r="AG12" s="8"/>
      <c r="AH12" s="6"/>
      <c r="AK12" s="257" t="s">
        <v>22</v>
      </c>
      <c r="AL12" s="35" t="s">
        <v>23</v>
      </c>
      <c r="AM12" s="29">
        <v>4</v>
      </c>
      <c r="AN12" s="19" t="s">
        <v>24</v>
      </c>
      <c r="AO12" s="30">
        <v>0.19500000000000001</v>
      </c>
      <c r="AP12" s="258">
        <f>(AM12*51)/(AO12*43.56)</f>
        <v>24.016387652751288</v>
      </c>
    </row>
    <row r="13" spans="1:44" ht="14.1" customHeight="1" thickTop="1" x14ac:dyDescent="0.35">
      <c r="B13" s="40"/>
      <c r="C13" s="40"/>
      <c r="D13" s="40"/>
      <c r="E13" s="7"/>
      <c r="F13" s="179"/>
      <c r="N13" s="8"/>
      <c r="R13" s="10"/>
      <c r="S13" s="11"/>
      <c r="U13" s="10"/>
      <c r="AG13" s="8"/>
      <c r="AH13" s="6"/>
      <c r="AK13" s="257" t="s">
        <v>25</v>
      </c>
      <c r="AL13" s="35" t="s">
        <v>26</v>
      </c>
      <c r="AM13" s="96">
        <v>4</v>
      </c>
      <c r="AN13" s="19" t="s">
        <v>27</v>
      </c>
      <c r="AO13" s="30">
        <v>0.73499999999999999</v>
      </c>
      <c r="AP13" s="258">
        <f>(AM13*127.999939675621)/(AO13*43.56)</f>
        <v>15.991696766754869</v>
      </c>
    </row>
    <row r="14" spans="1:44" ht="13.5" customHeight="1" x14ac:dyDescent="0.2">
      <c r="B14" s="92"/>
      <c r="C14" s="92"/>
      <c r="D14" s="92"/>
      <c r="V14" s="10" t="s">
        <v>28</v>
      </c>
      <c r="W14" s="10" t="s">
        <v>29</v>
      </c>
      <c r="AC14" s="10" t="s">
        <v>30</v>
      </c>
      <c r="AD14" s="10" t="s">
        <v>31</v>
      </c>
      <c r="AJ14" s="92"/>
      <c r="AK14" s="255" t="s">
        <v>32</v>
      </c>
      <c r="AL14" s="26" t="s">
        <v>16</v>
      </c>
      <c r="AM14" s="27" t="s">
        <v>17</v>
      </c>
      <c r="AN14" s="26" t="s">
        <v>18</v>
      </c>
      <c r="AO14" s="28" t="s">
        <v>19</v>
      </c>
      <c r="AP14" s="256" t="s">
        <v>20</v>
      </c>
      <c r="AQ14" s="104"/>
      <c r="AR14" s="104"/>
    </row>
    <row r="15" spans="1:44" ht="14.45" customHeight="1" thickBot="1" x14ac:dyDescent="0.25">
      <c r="A15" s="13" t="s">
        <v>33</v>
      </c>
      <c r="B15" s="13"/>
      <c r="C15" s="297" t="s">
        <v>34</v>
      </c>
      <c r="D15" s="13"/>
      <c r="E15" s="13"/>
      <c r="F15" s="180"/>
      <c r="G15" s="232" t="s">
        <v>34</v>
      </c>
      <c r="H15" s="232" t="s">
        <v>34</v>
      </c>
      <c r="I15" s="13"/>
      <c r="J15" s="13"/>
      <c r="K15" s="13"/>
      <c r="L15" s="13"/>
      <c r="M15" s="232"/>
      <c r="N15" s="232" t="s">
        <v>34</v>
      </c>
      <c r="O15" s="232" t="s">
        <v>34</v>
      </c>
      <c r="P15" s="13"/>
      <c r="Q15" s="232" t="s">
        <v>34</v>
      </c>
      <c r="R15" s="232" t="s">
        <v>34</v>
      </c>
      <c r="S15" s="13"/>
      <c r="T15" s="13"/>
      <c r="U15" s="14"/>
      <c r="V15" s="232" t="s">
        <v>34</v>
      </c>
      <c r="W15" s="232" t="s">
        <v>34</v>
      </c>
      <c r="X15" s="232" t="s">
        <v>34</v>
      </c>
      <c r="Y15" s="232" t="s">
        <v>34</v>
      </c>
      <c r="Z15" s="232" t="s">
        <v>34</v>
      </c>
      <c r="AA15" s="232" t="s">
        <v>34</v>
      </c>
      <c r="AB15" s="232" t="s">
        <v>34</v>
      </c>
      <c r="AC15" s="232" t="s">
        <v>34</v>
      </c>
      <c r="AD15" s="232" t="s">
        <v>34</v>
      </c>
      <c r="AE15" s="232" t="s">
        <v>34</v>
      </c>
      <c r="AF15" s="232" t="s">
        <v>34</v>
      </c>
      <c r="AG15" s="232" t="s">
        <v>34</v>
      </c>
      <c r="AH15" s="232" t="s">
        <v>34</v>
      </c>
      <c r="AI15" s="232" t="s">
        <v>34</v>
      </c>
      <c r="AK15" s="259" t="s">
        <v>35</v>
      </c>
      <c r="AL15" s="260"/>
      <c r="AM15" s="261"/>
      <c r="AN15" s="260"/>
      <c r="AO15" s="262"/>
      <c r="AP15" s="263"/>
    </row>
    <row r="16" spans="1:44" ht="12.95" customHeight="1" x14ac:dyDescent="0.2">
      <c r="A16" s="392" t="s">
        <v>36</v>
      </c>
      <c r="B16" s="392" t="s">
        <v>37</v>
      </c>
      <c r="C16" s="398" t="s">
        <v>38</v>
      </c>
      <c r="D16" s="398" t="s">
        <v>39</v>
      </c>
      <c r="E16" s="398" t="s">
        <v>16</v>
      </c>
      <c r="F16" s="399" t="s">
        <v>17</v>
      </c>
      <c r="G16" s="385" t="s">
        <v>40</v>
      </c>
      <c r="H16" s="385" t="s">
        <v>41</v>
      </c>
      <c r="I16" s="353" t="s">
        <v>42</v>
      </c>
      <c r="J16" s="353" t="s">
        <v>43</v>
      </c>
      <c r="K16" s="385" t="s">
        <v>44</v>
      </c>
      <c r="L16" s="385" t="s">
        <v>45</v>
      </c>
      <c r="M16" s="401"/>
      <c r="N16" s="390" t="s">
        <v>46</v>
      </c>
      <c r="O16" s="385" t="s">
        <v>47</v>
      </c>
      <c r="P16" s="385" t="s">
        <v>48</v>
      </c>
      <c r="Q16" s="385" t="s">
        <v>49</v>
      </c>
      <c r="R16" s="385" t="s">
        <v>50</v>
      </c>
      <c r="S16" s="363" t="s">
        <v>19</v>
      </c>
      <c r="T16" s="365" t="s">
        <v>51</v>
      </c>
      <c r="U16" s="365" t="s">
        <v>52</v>
      </c>
      <c r="V16" s="363" t="s">
        <v>53</v>
      </c>
      <c r="W16" s="363" t="s">
        <v>4</v>
      </c>
      <c r="X16" s="363" t="s">
        <v>54</v>
      </c>
      <c r="Y16" s="363" t="s">
        <v>55</v>
      </c>
      <c r="Z16" s="363" t="s">
        <v>56</v>
      </c>
      <c r="AA16" s="363" t="s">
        <v>57</v>
      </c>
      <c r="AB16" s="363" t="s">
        <v>58</v>
      </c>
      <c r="AC16" s="363" t="s">
        <v>59</v>
      </c>
      <c r="AD16" s="363" t="s">
        <v>60</v>
      </c>
      <c r="AE16" s="363" t="s">
        <v>61</v>
      </c>
      <c r="AF16" s="363" t="s">
        <v>62</v>
      </c>
      <c r="AG16" s="363" t="s">
        <v>63</v>
      </c>
      <c r="AH16" s="385" t="s">
        <v>64</v>
      </c>
      <c r="AI16" s="392" t="s">
        <v>65</v>
      </c>
    </row>
    <row r="17" spans="1:42" ht="12.95" customHeight="1" thickBot="1" x14ac:dyDescent="0.25">
      <c r="A17" s="393"/>
      <c r="B17" s="393"/>
      <c r="C17" s="393"/>
      <c r="D17" s="393"/>
      <c r="E17" s="393"/>
      <c r="F17" s="400"/>
      <c r="G17" s="354"/>
      <c r="H17" s="354"/>
      <c r="I17" s="354"/>
      <c r="J17" s="354"/>
      <c r="K17" s="354"/>
      <c r="L17" s="354"/>
      <c r="M17" s="402"/>
      <c r="N17" s="391"/>
      <c r="O17" s="354"/>
      <c r="P17" s="354"/>
      <c r="Q17" s="354"/>
      <c r="R17" s="354"/>
      <c r="S17" s="364"/>
      <c r="T17" s="366"/>
      <c r="U17" s="366"/>
      <c r="V17" s="384"/>
      <c r="W17" s="384"/>
      <c r="X17" s="384"/>
      <c r="Y17" s="384"/>
      <c r="Z17" s="384"/>
      <c r="AA17" s="384"/>
      <c r="AB17" s="384"/>
      <c r="AC17" s="384"/>
      <c r="AD17" s="384"/>
      <c r="AE17" s="384"/>
      <c r="AF17" s="384"/>
      <c r="AG17" s="384"/>
      <c r="AH17" s="354"/>
      <c r="AI17" s="393"/>
      <c r="AK17" s="92"/>
      <c r="AL17" s="212"/>
      <c r="AM17" s="212"/>
      <c r="AN17" s="212"/>
      <c r="AO17" s="212"/>
      <c r="AP17" s="212"/>
    </row>
    <row r="18" spans="1:42" ht="24.6" customHeight="1" x14ac:dyDescent="0.2">
      <c r="A18" s="393"/>
      <c r="B18" s="393"/>
      <c r="C18" s="393"/>
      <c r="D18" s="393"/>
      <c r="E18" s="393"/>
      <c r="F18" s="400"/>
      <c r="G18" s="354"/>
      <c r="H18" s="354"/>
      <c r="I18" s="354"/>
      <c r="J18" s="354"/>
      <c r="K18" s="354"/>
      <c r="L18" s="354"/>
      <c r="M18" s="403"/>
      <c r="N18" s="391"/>
      <c r="O18" s="354"/>
      <c r="P18" s="354"/>
      <c r="Q18" s="354"/>
      <c r="R18" s="354"/>
      <c r="S18" s="364"/>
      <c r="T18" s="366"/>
      <c r="U18" s="366"/>
      <c r="V18" s="384"/>
      <c r="W18" s="384"/>
      <c r="X18" s="384"/>
      <c r="Y18" s="384"/>
      <c r="Z18" s="384"/>
      <c r="AA18" s="384"/>
      <c r="AB18" s="384"/>
      <c r="AC18" s="384"/>
      <c r="AD18" s="384"/>
      <c r="AE18" s="384"/>
      <c r="AF18" s="384"/>
      <c r="AG18" s="384"/>
      <c r="AH18" s="354"/>
      <c r="AI18" s="393"/>
      <c r="AK18" s="341" t="s">
        <v>66</v>
      </c>
      <c r="AL18" s="342"/>
      <c r="AM18" s="342"/>
      <c r="AN18" s="342"/>
      <c r="AO18" s="342"/>
      <c r="AP18" s="343"/>
    </row>
    <row r="19" spans="1:42" ht="18.600000000000001" customHeight="1" x14ac:dyDescent="0.2">
      <c r="A19" s="210"/>
      <c r="B19" s="19">
        <v>1</v>
      </c>
      <c r="C19" s="210"/>
      <c r="D19" s="211" t="s">
        <v>67</v>
      </c>
      <c r="E19" s="20" t="s">
        <v>68</v>
      </c>
      <c r="F19" s="321"/>
      <c r="G19" s="103">
        <v>373.5</v>
      </c>
      <c r="H19" s="22" t="str">
        <f>IF(F19*G19= 0,"",F19*G19)</f>
        <v/>
      </c>
      <c r="I19" s="103">
        <v>373.5</v>
      </c>
      <c r="J19" s="124" t="str">
        <f>IF(F19*I19= 0,"",F19*I19)</f>
        <v/>
      </c>
      <c r="K19" s="22" t="str">
        <f>IF(F19 ="","",F19*Q19*V19)</f>
        <v/>
      </c>
      <c r="L19" s="22" t="str">
        <f>IF(AD19="","",AD19*F19*Q19)</f>
        <v/>
      </c>
      <c r="M19" s="103"/>
      <c r="N19" s="125">
        <f t="shared" ref="N19:N25" si="0">IF(AND(AG19 &lt;&gt; "", SUM(V19:AF19) &lt;= AG19), SUM(V19:AF19), AG19)</f>
        <v>0</v>
      </c>
      <c r="O19" s="124" t="str">
        <f t="shared" ref="O19:O35" si="1">IF(F19 ="","",F19*N19*Q19)</f>
        <v/>
      </c>
      <c r="P19" s="124" t="str">
        <f t="shared" ref="P19:P50" si="2">IF(AND(F19&lt;&gt;"",F19&gt;0),((J19/F19)-(O19/F19)),"")</f>
        <v/>
      </c>
      <c r="Q19" s="103">
        <v>373.5</v>
      </c>
      <c r="R19" s="22" t="str">
        <f t="shared" ref="R19:R30" si="3">IF(AND(F19&lt;&gt;"",F19&gt;0), F19*P19,"")</f>
        <v/>
      </c>
      <c r="S19" s="240">
        <v>0.16</v>
      </c>
      <c r="T19" s="126">
        <f t="shared" ref="T19:T49" si="4">S19*43.56</f>
        <v>6.9696000000000007</v>
      </c>
      <c r="U19" s="126" t="str">
        <f>IF(AND(TRIM(T19)&lt;&gt;"",TRIM(F19)&lt;&gt;""),(F19*64)/T19,"")</f>
        <v/>
      </c>
      <c r="V19" s="233"/>
      <c r="W19" s="25" t="str">
        <f t="shared" ref="W19:W30" si="5">IF(AND($AC$64&lt;0.08,$M$71="YES",$AH$64&gt;=5000,F19&lt;&gt;"",F19&gt;0),0.01,"")</f>
        <v/>
      </c>
      <c r="X19" s="209"/>
      <c r="Y19" s="209"/>
      <c r="Z19" s="209"/>
      <c r="AA19" s="209"/>
      <c r="AB19" s="209"/>
      <c r="AC19" s="25" t="str">
        <f t="shared" ref="AC19:AC30" si="6">IF(AND(B19 = 1, F19 &lt;&gt;""), $AC$64,"")</f>
        <v/>
      </c>
      <c r="AD19" s="233"/>
      <c r="AE19" s="209"/>
      <c r="AF19" s="209"/>
      <c r="AG19" s="25">
        <v>1</v>
      </c>
      <c r="AH19" s="22">
        <f t="shared" ref="AH19:AH34" si="7">IF(F19 = "",0,Q19*F19)</f>
        <v>0</v>
      </c>
      <c r="AI19" s="18"/>
      <c r="AK19" s="344"/>
      <c r="AL19" s="345"/>
      <c r="AM19" s="345"/>
      <c r="AN19" s="345"/>
      <c r="AO19" s="345"/>
      <c r="AP19" s="346"/>
    </row>
    <row r="20" spans="1:42" ht="17.45" customHeight="1" x14ac:dyDescent="0.2">
      <c r="A20" s="19">
        <v>1</v>
      </c>
      <c r="B20" s="19">
        <v>1</v>
      </c>
      <c r="C20" s="20" t="s">
        <v>69</v>
      </c>
      <c r="D20" s="20" t="s">
        <v>70</v>
      </c>
      <c r="E20" s="20" t="s">
        <v>71</v>
      </c>
      <c r="F20" s="181"/>
      <c r="G20" s="103">
        <v>1114.3800000000001</v>
      </c>
      <c r="H20" s="22" t="str">
        <f t="shared" ref="H20:H50" si="8">IF(F20*G20= 0,"",F20*G20)</f>
        <v/>
      </c>
      <c r="I20" s="103">
        <v>1114.3800000000001</v>
      </c>
      <c r="J20" s="124" t="str">
        <f>IF(F20*I20= 0,"",F20*I20)</f>
        <v/>
      </c>
      <c r="K20" s="22" t="str">
        <f>IF(F20 ="","",F20*Q20*V20)</f>
        <v/>
      </c>
      <c r="L20" s="22" t="str">
        <f t="shared" ref="L20:L50" si="9">IF(AD20="","",AD20*F20*Q20)</f>
        <v/>
      </c>
      <c r="M20" s="103"/>
      <c r="N20" s="125">
        <f t="shared" ca="1" si="0"/>
        <v>0</v>
      </c>
      <c r="O20" s="124" t="str">
        <f t="shared" si="1"/>
        <v/>
      </c>
      <c r="P20" s="124" t="str">
        <f>IF(AND(F20&lt;&gt;"",F20&gt;0),((J20/F20)-(O20/F20)),"")</f>
        <v/>
      </c>
      <c r="Q20" s="103">
        <v>1114.3800000000001</v>
      </c>
      <c r="R20" s="22" t="str">
        <f t="shared" si="3"/>
        <v/>
      </c>
      <c r="S20" s="231">
        <v>2</v>
      </c>
      <c r="T20" s="126">
        <f t="shared" si="4"/>
        <v>87.12</v>
      </c>
      <c r="U20" s="126" t="str">
        <f>IF(AND(TRIM(T20)&lt;&gt;"",TRIM(F20)&lt;&gt;""),(F20*319.999849189052)/T20,"")</f>
        <v/>
      </c>
      <c r="V20" s="25" t="str">
        <f ca="1">IF(AND(F20 &lt;&gt;"",F20&gt;0), IFERROR(VLOOKUP(F20,INDIRECT(AI20),3,TRUE),0), "")</f>
        <v/>
      </c>
      <c r="W20" s="25" t="str">
        <f t="shared" si="5"/>
        <v/>
      </c>
      <c r="X20" s="25"/>
      <c r="Y20" s="25"/>
      <c r="Z20" s="25"/>
      <c r="AA20" s="25"/>
      <c r="AB20" s="25"/>
      <c r="AC20" s="25" t="str">
        <f t="shared" si="6"/>
        <v/>
      </c>
      <c r="AD20" s="88" t="str">
        <f>IF(F20 = "", "", IF(OR(AND(AND(F20 &gt;= 4, F20 &lt;= 999999), AND(SUM(F25) &gt;= 3, SUM(F25) &lt; 999999)),AND(AND(F20 &gt;= 4, F20 &lt;= 999999), AND(SUM(F42) &gt;= 24, SUM(F42) &lt; 999999)),AND(AND(F20 &gt;= 4, F20 &lt;= 999999), AND(SUM(F27) &gt;= 12, SUM(F27) &lt; 999999))), 0.0224339991744288,""))</f>
        <v/>
      </c>
      <c r="AE20" s="25"/>
      <c r="AF20" s="25"/>
      <c r="AG20" s="25">
        <v>1</v>
      </c>
      <c r="AH20" s="22">
        <f t="shared" si="7"/>
        <v>0</v>
      </c>
      <c r="AI20" s="20" t="s">
        <v>72</v>
      </c>
      <c r="AK20" s="347"/>
      <c r="AL20" s="348"/>
      <c r="AM20" s="348"/>
      <c r="AN20" s="348"/>
      <c r="AO20" s="348"/>
      <c r="AP20" s="349"/>
    </row>
    <row r="21" spans="1:42" ht="17.45" customHeight="1" x14ac:dyDescent="0.2">
      <c r="A21" s="19"/>
      <c r="B21" s="19">
        <v>1</v>
      </c>
      <c r="C21" s="20"/>
      <c r="D21" s="20" t="s">
        <v>73</v>
      </c>
      <c r="E21" s="20" t="s">
        <v>71</v>
      </c>
      <c r="F21" s="181"/>
      <c r="G21" s="103">
        <v>1526.25</v>
      </c>
      <c r="H21" s="22" t="str">
        <f t="shared" si="8"/>
        <v/>
      </c>
      <c r="I21" s="103">
        <v>1526.25</v>
      </c>
      <c r="J21" s="124" t="str">
        <f>IF(F21*I21= 0,"",F21*I21)</f>
        <v/>
      </c>
      <c r="K21" s="22"/>
      <c r="L21" s="22"/>
      <c r="M21" s="103"/>
      <c r="N21" s="125">
        <f t="shared" si="0"/>
        <v>0</v>
      </c>
      <c r="O21" s="124" t="str">
        <f t="shared" si="1"/>
        <v/>
      </c>
      <c r="P21" s="124" t="str">
        <f>IF(AND(F21&lt;&gt;"",F21&gt;0),((J21/F21)-(O21/F21)),"")</f>
        <v/>
      </c>
      <c r="Q21" s="103">
        <v>1526.25</v>
      </c>
      <c r="R21" s="22" t="str">
        <f t="shared" si="3"/>
        <v/>
      </c>
      <c r="S21" s="231">
        <v>1</v>
      </c>
      <c r="T21" s="126">
        <f t="shared" si="4"/>
        <v>43.56</v>
      </c>
      <c r="U21" s="126"/>
      <c r="V21" s="25"/>
      <c r="W21" s="25" t="str">
        <f t="shared" si="5"/>
        <v/>
      </c>
      <c r="X21" s="25"/>
      <c r="Y21" s="25"/>
      <c r="Z21" s="25"/>
      <c r="AA21" s="25"/>
      <c r="AB21" s="25"/>
      <c r="AC21" s="25" t="str">
        <f t="shared" si="6"/>
        <v/>
      </c>
      <c r="AD21" s="88"/>
      <c r="AE21" s="25"/>
      <c r="AF21" s="25"/>
      <c r="AG21" s="25">
        <v>1</v>
      </c>
      <c r="AH21" s="22">
        <f t="shared" si="7"/>
        <v>0</v>
      </c>
      <c r="AI21" s="20"/>
      <c r="AK21" s="322"/>
      <c r="AL21" s="212"/>
      <c r="AM21" s="212"/>
      <c r="AN21" s="212"/>
      <c r="AO21" s="212"/>
      <c r="AP21" s="323"/>
    </row>
    <row r="22" spans="1:42" ht="17.45" customHeight="1" x14ac:dyDescent="0.2">
      <c r="A22" s="19"/>
      <c r="B22" s="19">
        <v>1</v>
      </c>
      <c r="C22" s="20"/>
      <c r="D22" s="20" t="s">
        <v>74</v>
      </c>
      <c r="E22" s="20" t="s">
        <v>75</v>
      </c>
      <c r="F22" s="181"/>
      <c r="G22" s="103">
        <v>117.5</v>
      </c>
      <c r="H22" s="22" t="str">
        <f t="shared" si="8"/>
        <v/>
      </c>
      <c r="I22" s="103">
        <v>117.5</v>
      </c>
      <c r="J22" s="124" t="str">
        <f>IF(F22*I22= 0,"",F22*I22)</f>
        <v/>
      </c>
      <c r="K22" s="22" t="str">
        <f>IF(F22 ="","",F22*Q22*V22)</f>
        <v/>
      </c>
      <c r="L22" s="22" t="str">
        <f t="shared" si="9"/>
        <v/>
      </c>
      <c r="M22" s="103"/>
      <c r="N22" s="125">
        <f t="shared" ca="1" si="0"/>
        <v>0</v>
      </c>
      <c r="O22" s="124" t="str">
        <f t="shared" si="1"/>
        <v/>
      </c>
      <c r="P22" s="124" t="str">
        <f t="shared" si="2"/>
        <v/>
      </c>
      <c r="Q22" s="103">
        <v>117.5</v>
      </c>
      <c r="R22" s="22" t="str">
        <f t="shared" si="3"/>
        <v/>
      </c>
      <c r="S22" s="243">
        <f>T22/43.56</f>
        <v>0.11294765840220385</v>
      </c>
      <c r="T22" s="241">
        <v>4.92</v>
      </c>
      <c r="U22" s="126" t="str">
        <f>IF(AND(TRIM(T22)&lt;&gt;"",TRIM(F22)&lt;&gt;""),(F22*10)/T22,"")</f>
        <v/>
      </c>
      <c r="V22" s="25" t="str">
        <f ca="1">IF(AND(F22 &lt;&gt;"",F22&gt;0), IFERROR(VLOOKUP(F22,INDIRECT(AI22),3,TRUE),0), "")</f>
        <v/>
      </c>
      <c r="W22" s="25" t="str">
        <f t="shared" si="5"/>
        <v/>
      </c>
      <c r="X22" s="25"/>
      <c r="Y22" s="25"/>
      <c r="Z22" s="25"/>
      <c r="AA22" s="25"/>
      <c r="AB22" s="25"/>
      <c r="AC22" s="25" t="str">
        <f t="shared" si="6"/>
        <v/>
      </c>
      <c r="AD22" s="25" t="str">
        <f>IF(F22 = "", "", IF(AND(AND(F22 &gt;= 16, F22 &lt;= 999999), AND(SUM(F43:F45) &gt;= 2, SUM(F42:F44) &lt; 999999)), 0.0425531914893617,""))</f>
        <v/>
      </c>
      <c r="AE22" s="25"/>
      <c r="AF22" s="25"/>
      <c r="AG22" s="25">
        <v>1</v>
      </c>
      <c r="AH22" s="22">
        <f t="shared" si="7"/>
        <v>0</v>
      </c>
      <c r="AI22" s="20" t="s">
        <v>76</v>
      </c>
      <c r="AK22" s="253"/>
      <c r="AL22" s="248"/>
      <c r="AM22" s="249"/>
      <c r="AN22" s="248"/>
      <c r="AO22" s="250"/>
      <c r="AP22" s="254"/>
    </row>
    <row r="23" spans="1:42" ht="18.95" customHeight="1" x14ac:dyDescent="0.2">
      <c r="A23" s="19">
        <v>1</v>
      </c>
      <c r="B23" s="19">
        <v>1</v>
      </c>
      <c r="C23" s="20" t="s">
        <v>77</v>
      </c>
      <c r="D23" s="20" t="s">
        <v>78</v>
      </c>
      <c r="E23" s="20" t="s">
        <v>75</v>
      </c>
      <c r="F23" s="181"/>
      <c r="G23" s="103">
        <v>155.5</v>
      </c>
      <c r="H23" s="22" t="str">
        <f t="shared" si="8"/>
        <v/>
      </c>
      <c r="I23" s="103">
        <v>155.5</v>
      </c>
      <c r="J23" s="124" t="str">
        <f t="shared" ref="J23:J50" si="10">IF(F23*I23= 0,"",F23*I23)</f>
        <v/>
      </c>
      <c r="K23" s="22" t="str">
        <f>IF(F23 ="","",F23*Q23*V23)</f>
        <v/>
      </c>
      <c r="L23" s="22" t="str">
        <f>IF(AD23="","",AD23*F23*Q23)</f>
        <v/>
      </c>
      <c r="M23" s="103"/>
      <c r="N23" s="125">
        <f t="shared" ca="1" si="0"/>
        <v>0</v>
      </c>
      <c r="O23" s="124" t="str">
        <f t="shared" si="1"/>
        <v/>
      </c>
      <c r="P23" s="124" t="str">
        <f t="shared" si="2"/>
        <v/>
      </c>
      <c r="Q23" s="103">
        <v>155.5</v>
      </c>
      <c r="R23" s="22" t="str">
        <f t="shared" si="3"/>
        <v/>
      </c>
      <c r="S23" s="243">
        <f>T23/43.56</f>
        <v>0.22910927456382002</v>
      </c>
      <c r="T23" s="242">
        <v>9.98</v>
      </c>
      <c r="U23" s="126" t="str">
        <f>IF(AND(TRIM(T23)&lt;&gt;"",TRIM(F23)&lt;&gt;""),(F23*10)/T23,"")</f>
        <v/>
      </c>
      <c r="V23" s="25" t="str">
        <f ca="1">IF(AND(F23 &lt;&gt;"",F23&gt;0), IFERROR(VLOOKUP(F23,INDIRECT(AI23),3,TRUE),0), "")</f>
        <v/>
      </c>
      <c r="W23" s="25" t="str">
        <f t="shared" si="5"/>
        <v/>
      </c>
      <c r="X23" s="25"/>
      <c r="Y23" s="25"/>
      <c r="Z23" s="25"/>
      <c r="AA23" s="25"/>
      <c r="AB23" s="25"/>
      <c r="AC23" s="25" t="str">
        <f t="shared" si="6"/>
        <v/>
      </c>
      <c r="AD23" s="25"/>
      <c r="AE23" s="25"/>
      <c r="AF23" s="25"/>
      <c r="AG23" s="25">
        <v>1</v>
      </c>
      <c r="AH23" s="22">
        <f t="shared" si="7"/>
        <v>0</v>
      </c>
      <c r="AI23" s="20" t="s">
        <v>79</v>
      </c>
      <c r="AK23" s="255" t="s">
        <v>15</v>
      </c>
      <c r="AL23" s="26" t="s">
        <v>16</v>
      </c>
      <c r="AM23" s="27" t="s">
        <v>17</v>
      </c>
      <c r="AN23" s="26" t="s">
        <v>18</v>
      </c>
      <c r="AO23" s="28" t="s">
        <v>19</v>
      </c>
      <c r="AP23" s="256" t="s">
        <v>20</v>
      </c>
    </row>
    <row r="24" spans="1:42" ht="17.45" customHeight="1" x14ac:dyDescent="0.2">
      <c r="A24" s="19">
        <v>1</v>
      </c>
      <c r="B24" s="19">
        <v>1</v>
      </c>
      <c r="C24" s="20" t="s">
        <v>80</v>
      </c>
      <c r="D24" s="20" t="s">
        <v>81</v>
      </c>
      <c r="E24" s="20" t="s">
        <v>82</v>
      </c>
      <c r="F24" s="181"/>
      <c r="G24" s="103">
        <v>1439.75</v>
      </c>
      <c r="H24" s="22" t="str">
        <f t="shared" si="8"/>
        <v/>
      </c>
      <c r="I24" s="103">
        <v>1439.75</v>
      </c>
      <c r="J24" s="124" t="str">
        <f t="shared" si="10"/>
        <v/>
      </c>
      <c r="K24" s="22" t="str">
        <f>IF(F24 ="","",F24*Q24*V24)</f>
        <v/>
      </c>
      <c r="L24" s="22" t="str">
        <f t="shared" si="9"/>
        <v/>
      </c>
      <c r="M24" s="103"/>
      <c r="N24" s="125">
        <f t="shared" si="0"/>
        <v>0</v>
      </c>
      <c r="O24" s="124" t="str">
        <f t="shared" si="1"/>
        <v/>
      </c>
      <c r="P24" s="124" t="str">
        <f t="shared" si="2"/>
        <v/>
      </c>
      <c r="Q24" s="103">
        <v>1439.75</v>
      </c>
      <c r="R24" s="22" t="str">
        <f t="shared" si="3"/>
        <v/>
      </c>
      <c r="S24" s="231">
        <v>4</v>
      </c>
      <c r="T24" s="126">
        <f t="shared" si="4"/>
        <v>174.24</v>
      </c>
      <c r="U24" s="126" t="str">
        <f>IF(AND(TRIM(T24)&lt;&gt;"",TRIM(F24)&lt;&gt;""),(F24*703.999999010471)/T24,"")</f>
        <v/>
      </c>
      <c r="V24" s="25"/>
      <c r="W24" s="25" t="str">
        <f t="shared" si="5"/>
        <v/>
      </c>
      <c r="X24" s="25"/>
      <c r="Y24" s="25"/>
      <c r="Z24" s="25"/>
      <c r="AA24" s="25"/>
      <c r="AB24" s="25"/>
      <c r="AC24" s="25" t="str">
        <f t="shared" si="6"/>
        <v/>
      </c>
      <c r="AD24" s="25" t="str">
        <f>IF(F24 = "", "", IF(AND(AND(F24 &gt;= 3, F24 &lt;= 999999), AND(SUM(F20:F20) &gt;= 4, SUM(F20:F20) &lt; 999999)), 0.024232633279,""))</f>
        <v/>
      </c>
      <c r="AE24" s="25"/>
      <c r="AF24" s="25"/>
      <c r="AG24" s="25">
        <v>1</v>
      </c>
      <c r="AH24" s="22">
        <f t="shared" si="7"/>
        <v>0</v>
      </c>
      <c r="AI24" s="20"/>
      <c r="AK24" s="257" t="s">
        <v>83</v>
      </c>
      <c r="AL24" s="35" t="s">
        <v>84</v>
      </c>
      <c r="AM24" s="29">
        <v>2</v>
      </c>
      <c r="AN24" s="19" t="s">
        <v>85</v>
      </c>
      <c r="AO24" s="30">
        <v>0.13800000000000001</v>
      </c>
      <c r="AP24" s="258">
        <f>(AM24*127.999939675621)/(AO24*43.56)</f>
        <v>42.586583781031983</v>
      </c>
    </row>
    <row r="25" spans="1:42" ht="17.45" customHeight="1" thickBot="1" x14ac:dyDescent="0.25">
      <c r="A25" s="19">
        <v>1</v>
      </c>
      <c r="B25" s="19">
        <v>1</v>
      </c>
      <c r="C25" s="20" t="s">
        <v>80</v>
      </c>
      <c r="D25" s="20" t="s">
        <v>86</v>
      </c>
      <c r="E25" s="20" t="s">
        <v>82</v>
      </c>
      <c r="F25" s="181"/>
      <c r="G25" s="103">
        <v>1439.75</v>
      </c>
      <c r="H25" s="22" t="str">
        <f t="shared" si="8"/>
        <v/>
      </c>
      <c r="I25" s="103">
        <v>1354</v>
      </c>
      <c r="J25" s="124" t="str">
        <f t="shared" si="10"/>
        <v/>
      </c>
      <c r="K25" s="22"/>
      <c r="L25" s="22" t="str">
        <f t="shared" si="9"/>
        <v/>
      </c>
      <c r="M25" s="103"/>
      <c r="N25" s="125">
        <f t="shared" si="0"/>
        <v>0</v>
      </c>
      <c r="O25" s="124" t="str">
        <f t="shared" si="1"/>
        <v/>
      </c>
      <c r="P25" s="124" t="str">
        <f t="shared" si="2"/>
        <v/>
      </c>
      <c r="Q25" s="103">
        <v>1354</v>
      </c>
      <c r="R25" s="22" t="str">
        <f t="shared" si="3"/>
        <v/>
      </c>
      <c r="S25" s="231">
        <v>4</v>
      </c>
      <c r="T25" s="126">
        <f t="shared" si="4"/>
        <v>174.24</v>
      </c>
      <c r="U25" s="126" t="str">
        <f>IF(AND(TRIM(T25)&lt;&gt;"",TRIM(F25)&lt;&gt;""),(F25*703.999999010471)/T25,"")</f>
        <v/>
      </c>
      <c r="V25" s="25"/>
      <c r="W25" s="25" t="str">
        <f t="shared" si="5"/>
        <v/>
      </c>
      <c r="X25" s="25"/>
      <c r="Y25" s="25"/>
      <c r="Z25" s="25"/>
      <c r="AA25" s="25"/>
      <c r="AB25" s="25"/>
      <c r="AC25" s="25" t="str">
        <f t="shared" si="6"/>
        <v/>
      </c>
      <c r="AD25" s="25" t="str">
        <f>IF(F25 = "", "", IF(AND(AND(F25 &gt;= 3, F25 &lt;= 999999), AND(SUM(F20:F20) &gt;= 4, SUM(F20:F20) &lt; 999999)), 0.0221565731166913,""))</f>
        <v/>
      </c>
      <c r="AE25" s="25"/>
      <c r="AF25" s="25"/>
      <c r="AG25" s="25">
        <v>1</v>
      </c>
      <c r="AH25" s="22">
        <f t="shared" si="7"/>
        <v>0</v>
      </c>
      <c r="AI25" s="20"/>
      <c r="AK25" s="264" t="s">
        <v>87</v>
      </c>
      <c r="AL25" s="265" t="s">
        <v>88</v>
      </c>
      <c r="AM25" s="261">
        <v>6</v>
      </c>
      <c r="AN25" s="260" t="s">
        <v>89</v>
      </c>
      <c r="AO25" s="266">
        <v>2.3E-2</v>
      </c>
      <c r="AP25" s="267">
        <f>(AM25*6)/(AO25*43.56)</f>
        <v>35.932446999640675</v>
      </c>
    </row>
    <row r="26" spans="1:42" ht="15.6" customHeight="1" thickBot="1" x14ac:dyDescent="0.25">
      <c r="A26" s="19">
        <v>1</v>
      </c>
      <c r="B26" s="19">
        <v>1</v>
      </c>
      <c r="C26" s="20"/>
      <c r="D26" s="95" t="s">
        <v>90</v>
      </c>
      <c r="E26" s="20" t="s">
        <v>91</v>
      </c>
      <c r="F26" s="181"/>
      <c r="G26" s="103">
        <v>359.94</v>
      </c>
      <c r="H26" s="22" t="str">
        <f t="shared" si="8"/>
        <v/>
      </c>
      <c r="I26" s="103">
        <v>359.94</v>
      </c>
      <c r="J26" s="124" t="str">
        <f t="shared" si="10"/>
        <v/>
      </c>
      <c r="K26" s="22"/>
      <c r="L26" s="22" t="str">
        <f t="shared" si="9"/>
        <v/>
      </c>
      <c r="M26" s="103"/>
      <c r="N26" s="125">
        <f t="shared" ref="N26:N27" si="11">IF(AND(AG26 &lt;&gt; "", SUM(V26:AF26) &lt;= AG26), SUM(V26:AF26), AG26)</f>
        <v>0</v>
      </c>
      <c r="O26" s="124" t="str">
        <f t="shared" si="1"/>
        <v/>
      </c>
      <c r="P26" s="124" t="str">
        <f t="shared" si="2"/>
        <v/>
      </c>
      <c r="Q26" s="103">
        <v>359.94</v>
      </c>
      <c r="R26" s="22" t="str">
        <f t="shared" si="3"/>
        <v/>
      </c>
      <c r="S26" s="231">
        <v>4</v>
      </c>
      <c r="T26" s="126">
        <f t="shared" si="4"/>
        <v>174.24</v>
      </c>
      <c r="U26" s="126" t="str">
        <f>IF(AND(TRIM(T26)&lt;&gt;"",TRIM(F26)&lt;&gt;""),(F26*176)/T26,"")</f>
        <v/>
      </c>
      <c r="V26" s="25"/>
      <c r="W26" s="25" t="str">
        <f t="shared" si="5"/>
        <v/>
      </c>
      <c r="X26" s="25"/>
      <c r="Y26" s="25"/>
      <c r="Z26" s="25"/>
      <c r="AA26" s="25"/>
      <c r="AB26" s="25"/>
      <c r="AC26" s="25" t="str">
        <f t="shared" si="6"/>
        <v/>
      </c>
      <c r="AD26" s="25" t="str">
        <f>IF(F26 = "", "", IF(AND(AND(F26 &gt;= 9, F26 &lt;= 999999), AND(SUM(F20) &gt;= 4, SUM(F20) &lt; 999999)), 0.0237341772151899,""))</f>
        <v/>
      </c>
      <c r="AE26" s="25"/>
      <c r="AF26" s="25"/>
      <c r="AG26" s="25">
        <v>1</v>
      </c>
      <c r="AH26" s="22">
        <f t="shared" si="7"/>
        <v>0</v>
      </c>
      <c r="AI26" s="20"/>
      <c r="AM26" s="6"/>
      <c r="AO26" s="6"/>
      <c r="AP26" s="6"/>
    </row>
    <row r="27" spans="1:42" ht="17.45" customHeight="1" x14ac:dyDescent="0.2">
      <c r="A27" s="19">
        <v>1</v>
      </c>
      <c r="B27" s="19">
        <v>1</v>
      </c>
      <c r="C27" s="20"/>
      <c r="D27" s="95" t="s">
        <v>92</v>
      </c>
      <c r="E27" s="20" t="s">
        <v>91</v>
      </c>
      <c r="F27" s="181"/>
      <c r="G27" s="103">
        <v>359.94</v>
      </c>
      <c r="H27" s="22" t="str">
        <f t="shared" si="8"/>
        <v/>
      </c>
      <c r="I27" s="103">
        <v>338.5</v>
      </c>
      <c r="J27" s="124" t="str">
        <f t="shared" si="10"/>
        <v/>
      </c>
      <c r="K27" s="22"/>
      <c r="L27" s="22" t="str">
        <f t="shared" si="9"/>
        <v/>
      </c>
      <c r="M27" s="103"/>
      <c r="N27" s="125">
        <f t="shared" si="11"/>
        <v>0</v>
      </c>
      <c r="O27" s="124" t="str">
        <f t="shared" si="1"/>
        <v/>
      </c>
      <c r="P27" s="124" t="str">
        <f t="shared" si="2"/>
        <v/>
      </c>
      <c r="Q27" s="103">
        <v>338.5</v>
      </c>
      <c r="R27" s="22" t="str">
        <f t="shared" si="3"/>
        <v/>
      </c>
      <c r="S27" s="231">
        <v>4</v>
      </c>
      <c r="T27" s="126">
        <f t="shared" si="4"/>
        <v>174.24</v>
      </c>
      <c r="U27" s="126" t="str">
        <f>IF(AND(TRIM(T27)&lt;&gt;"",TRIM(F27)&lt;&gt;""),(F27*176)/T27,"")</f>
        <v/>
      </c>
      <c r="V27" s="25"/>
      <c r="W27" s="25" t="str">
        <f t="shared" si="5"/>
        <v/>
      </c>
      <c r="X27" s="25"/>
      <c r="Y27" s="25"/>
      <c r="Z27" s="25"/>
      <c r="AA27" s="25"/>
      <c r="AB27" s="25"/>
      <c r="AC27" s="25" t="str">
        <f t="shared" si="6"/>
        <v/>
      </c>
      <c r="AD27" s="25" t="str">
        <f>IF(F27 = "", "", IF(AND(AND(F27 &gt;= 12, F27 &lt;= 999999), AND(SUM(F20) &gt;= 4, SUM(F20) &lt; 999999)),0.0221565731166913,""))</f>
        <v/>
      </c>
      <c r="AE27" s="25"/>
      <c r="AF27" s="25"/>
      <c r="AG27" s="25">
        <v>1</v>
      </c>
      <c r="AH27" s="22">
        <f t="shared" si="7"/>
        <v>0</v>
      </c>
      <c r="AI27" s="20"/>
      <c r="AK27" s="341" t="s">
        <v>93</v>
      </c>
      <c r="AL27" s="342"/>
      <c r="AM27" s="342"/>
      <c r="AN27" s="342"/>
      <c r="AO27" s="342"/>
      <c r="AP27" s="343"/>
    </row>
    <row r="28" spans="1:42" ht="17.45" customHeight="1" x14ac:dyDescent="0.2">
      <c r="A28" s="19">
        <v>1</v>
      </c>
      <c r="B28" s="19">
        <v>1</v>
      </c>
      <c r="C28" s="20" t="s">
        <v>94</v>
      </c>
      <c r="D28" s="20" t="s">
        <v>95</v>
      </c>
      <c r="E28" s="20" t="s">
        <v>23</v>
      </c>
      <c r="F28" s="181"/>
      <c r="G28" s="103">
        <v>673.2</v>
      </c>
      <c r="H28" s="22" t="str">
        <f t="shared" si="8"/>
        <v/>
      </c>
      <c r="I28" s="103">
        <v>673.2</v>
      </c>
      <c r="J28" s="124" t="str">
        <f t="shared" si="10"/>
        <v/>
      </c>
      <c r="K28" s="22"/>
      <c r="L28" s="22" t="str">
        <f t="shared" si="9"/>
        <v/>
      </c>
      <c r="M28" s="103"/>
      <c r="N28" s="125">
        <f t="shared" ref="N28:N50" si="12">IF(AND(AG28 &lt;&gt; "", SUM(V28:AF28) &lt;= AG28), SUM(V28:AF28), AG28)</f>
        <v>0</v>
      </c>
      <c r="O28" s="124" t="str">
        <f t="shared" si="1"/>
        <v/>
      </c>
      <c r="P28" s="124" t="str">
        <f t="shared" si="2"/>
        <v/>
      </c>
      <c r="Q28" s="103">
        <v>673.2</v>
      </c>
      <c r="R28" s="22" t="str">
        <f t="shared" si="3"/>
        <v/>
      </c>
      <c r="S28" s="243">
        <f>T28/43.56</f>
        <v>0.19605142332415057</v>
      </c>
      <c r="T28" s="242">
        <v>8.5399999999999991</v>
      </c>
      <c r="U28" s="126" t="str">
        <f>IF(AND(TRIM(T28)&lt;&gt;"",TRIM(F28)&lt;&gt;""),(F28*51)/T28,"")</f>
        <v/>
      </c>
      <c r="V28" s="25"/>
      <c r="W28" s="25" t="str">
        <f t="shared" si="5"/>
        <v/>
      </c>
      <c r="X28" s="25"/>
      <c r="Y28" s="25"/>
      <c r="Z28" s="25"/>
      <c r="AA28" s="25"/>
      <c r="AB28" s="25"/>
      <c r="AC28" s="25" t="str">
        <f t="shared" si="6"/>
        <v/>
      </c>
      <c r="AD28" s="88" t="str">
        <f>IF(F28 = "", "", IF(OR(AND(F28 &gt;= 2, F28 &lt;= 999999,(F47+F48)&gt;=2,(F47+F48)&lt;=999999), AND(F28&gt;=4, F28&lt;= 999999,F49&gt;=4,F49&lt;=999999)),0.0445632798573975,""))</f>
        <v/>
      </c>
      <c r="AE28" s="25"/>
      <c r="AF28" s="25"/>
      <c r="AG28" s="25">
        <v>1</v>
      </c>
      <c r="AH28" s="22">
        <f t="shared" si="7"/>
        <v>0</v>
      </c>
      <c r="AI28" s="20"/>
      <c r="AK28" s="344"/>
      <c r="AL28" s="345"/>
      <c r="AM28" s="345"/>
      <c r="AN28" s="345"/>
      <c r="AO28" s="345"/>
      <c r="AP28" s="346"/>
    </row>
    <row r="29" spans="1:42" ht="17.45" customHeight="1" x14ac:dyDescent="0.2">
      <c r="A29" s="19"/>
      <c r="B29" s="19">
        <v>1</v>
      </c>
      <c r="C29" s="20"/>
      <c r="D29" s="20" t="s">
        <v>96</v>
      </c>
      <c r="E29" s="20" t="s">
        <v>71</v>
      </c>
      <c r="F29" s="181"/>
      <c r="G29" s="103">
        <v>318.75</v>
      </c>
      <c r="H29" s="22" t="str">
        <f t="shared" si="8"/>
        <v/>
      </c>
      <c r="I29" s="103">
        <v>318.75</v>
      </c>
      <c r="J29" s="124" t="str">
        <f t="shared" si="10"/>
        <v/>
      </c>
      <c r="K29" s="22" t="str">
        <f>IF(F29 ="","",F29*Q29*V29)</f>
        <v/>
      </c>
      <c r="L29" s="22" t="str">
        <f t="shared" si="9"/>
        <v/>
      </c>
      <c r="M29" s="103"/>
      <c r="N29" s="125">
        <f ca="1">IF(AND(AG29 &lt;&gt; "", SUM(V29:AF29) &lt;= AG29), SUM(V29:AF29), AG29)</f>
        <v>0</v>
      </c>
      <c r="O29" s="124" t="str">
        <f t="shared" si="1"/>
        <v/>
      </c>
      <c r="P29" s="124" t="str">
        <f t="shared" si="2"/>
        <v/>
      </c>
      <c r="Q29" s="103">
        <v>318.75</v>
      </c>
      <c r="R29" s="22" t="str">
        <f t="shared" si="3"/>
        <v/>
      </c>
      <c r="S29" s="240">
        <v>4</v>
      </c>
      <c r="T29" s="126">
        <f t="shared" si="4"/>
        <v>174.24</v>
      </c>
      <c r="U29" s="126" t="str">
        <f>IF(AND(TRIM(T29)&lt;&gt;"",TRIM(F29)&lt;&gt;""),(F29*319.999849189052)/T29,"")</f>
        <v/>
      </c>
      <c r="V29" s="25" t="str">
        <f ca="1">IF(AND(F29 &lt;&gt;"",F29&gt;0), IFERROR(VLOOKUP(F29,INDIRECT(AI29),3,TRUE),0), "")</f>
        <v/>
      </c>
      <c r="W29" s="25" t="str">
        <f t="shared" si="5"/>
        <v/>
      </c>
      <c r="X29" s="25"/>
      <c r="Y29" s="25"/>
      <c r="Z29" s="25"/>
      <c r="AA29" s="25"/>
      <c r="AB29" s="25"/>
      <c r="AC29" s="25" t="str">
        <f t="shared" si="6"/>
        <v/>
      </c>
      <c r="AD29" s="25" t="str">
        <f>IF(F29 = "", "", IF(AND(AND(F29 &gt;= 16, F29 &lt;= 999999), AND(SUM(F48) &gt;= 6, SUM(F48) &lt; 999999)), 0.0219607843137255,""))</f>
        <v/>
      </c>
      <c r="AE29" s="25"/>
      <c r="AF29" s="25"/>
      <c r="AG29" s="25">
        <v>1</v>
      </c>
      <c r="AH29" s="22">
        <f t="shared" si="7"/>
        <v>0</v>
      </c>
      <c r="AI29" s="20" t="s">
        <v>97</v>
      </c>
      <c r="AK29" s="347"/>
      <c r="AL29" s="348"/>
      <c r="AM29" s="348"/>
      <c r="AN29" s="348"/>
      <c r="AO29" s="348"/>
      <c r="AP29" s="349"/>
    </row>
    <row r="30" spans="1:42" ht="17.45" customHeight="1" x14ac:dyDescent="0.2">
      <c r="A30" s="19"/>
      <c r="B30" s="19">
        <v>1</v>
      </c>
      <c r="C30" s="20"/>
      <c r="D30" s="20" t="s">
        <v>98</v>
      </c>
      <c r="E30" s="20" t="s">
        <v>71</v>
      </c>
      <c r="F30" s="181"/>
      <c r="G30" s="103">
        <v>167.25</v>
      </c>
      <c r="H30" s="22" t="str">
        <f t="shared" si="8"/>
        <v/>
      </c>
      <c r="I30" s="103">
        <v>167.25</v>
      </c>
      <c r="J30" s="124" t="str">
        <f t="shared" si="10"/>
        <v/>
      </c>
      <c r="K30" s="22" t="str">
        <f>IF(F30 ="","",F30*Q30*V30)</f>
        <v/>
      </c>
      <c r="L30" s="22" t="str">
        <f t="shared" si="9"/>
        <v/>
      </c>
      <c r="M30" s="103"/>
      <c r="N30" s="125">
        <f ca="1">IF(AND(AG30 &lt;&gt; "", SUM(V30:AF30) &lt;= AG30), SUM(V30:AF30), AG30)</f>
        <v>0</v>
      </c>
      <c r="O30" s="124" t="str">
        <f t="shared" si="1"/>
        <v/>
      </c>
      <c r="P30" s="124" t="str">
        <f t="shared" si="2"/>
        <v/>
      </c>
      <c r="Q30" s="103">
        <v>167.25</v>
      </c>
      <c r="R30" s="22" t="str">
        <f t="shared" si="3"/>
        <v/>
      </c>
      <c r="S30" s="240">
        <v>5</v>
      </c>
      <c r="T30" s="126">
        <f t="shared" si="4"/>
        <v>217.8</v>
      </c>
      <c r="U30" s="126" t="str">
        <f>IF(AND(TRIM(T30)&lt;&gt;"",TRIM(F30)&lt;&gt;""),(F30*319.999849189052)/T30,"")</f>
        <v/>
      </c>
      <c r="V30" s="25" t="str">
        <f ca="1">IF(AND(F30 &lt;&gt;"",F30&gt;0), IFERROR(VLOOKUP(F30,INDIRECT(AI30),3,TRUE),0), "")</f>
        <v/>
      </c>
      <c r="W30" s="25" t="str">
        <f t="shared" si="5"/>
        <v/>
      </c>
      <c r="X30" s="25"/>
      <c r="Y30" s="25"/>
      <c r="Z30" s="25"/>
      <c r="AA30" s="25"/>
      <c r="AB30" s="25"/>
      <c r="AC30" s="25" t="str">
        <f t="shared" si="6"/>
        <v/>
      </c>
      <c r="AD30" s="25"/>
      <c r="AE30" s="25"/>
      <c r="AF30" s="25"/>
      <c r="AG30" s="25">
        <v>1</v>
      </c>
      <c r="AH30" s="22">
        <f t="shared" si="7"/>
        <v>0</v>
      </c>
      <c r="AI30" s="20" t="s">
        <v>99</v>
      </c>
      <c r="AK30" s="253"/>
      <c r="AL30" s="248"/>
      <c r="AM30" s="249"/>
      <c r="AN30" s="248"/>
      <c r="AO30" s="250"/>
      <c r="AP30" s="254"/>
    </row>
    <row r="31" spans="1:42" ht="29.1" customHeight="1" x14ac:dyDescent="0.2">
      <c r="A31" s="19">
        <v>1</v>
      </c>
      <c r="B31" s="19">
        <v>1</v>
      </c>
      <c r="C31" s="20" t="s">
        <v>100</v>
      </c>
      <c r="D31" s="20" t="s">
        <v>101</v>
      </c>
      <c r="E31" s="20" t="s">
        <v>102</v>
      </c>
      <c r="F31" s="181"/>
      <c r="G31" s="103">
        <v>1778</v>
      </c>
      <c r="H31" s="22" t="str">
        <f t="shared" si="8"/>
        <v/>
      </c>
      <c r="I31" s="103">
        <v>1778</v>
      </c>
      <c r="J31" s="124" t="str">
        <f t="shared" si="10"/>
        <v/>
      </c>
      <c r="K31" s="22"/>
      <c r="L31" s="22" t="str">
        <f t="shared" si="9"/>
        <v/>
      </c>
      <c r="M31" s="103"/>
      <c r="N31" s="125">
        <f t="shared" si="12"/>
        <v>0</v>
      </c>
      <c r="O31" s="124" t="str">
        <f t="shared" si="1"/>
        <v/>
      </c>
      <c r="P31" s="124" t="str">
        <f t="shared" si="2"/>
        <v/>
      </c>
      <c r="Q31" s="103">
        <v>1778</v>
      </c>
      <c r="R31" s="22" t="str">
        <f t="shared" ref="R31:R40" si="13">IF(AND(F31&lt;&gt;"",F31&gt;0), F31*P31,"")</f>
        <v/>
      </c>
      <c r="S31" s="231">
        <v>0.39</v>
      </c>
      <c r="T31" s="126">
        <f t="shared" si="4"/>
        <v>16.988400000000002</v>
      </c>
      <c r="U31" s="126" t="str">
        <f>IF(AND(TRIM(T31)&lt;&gt;"",TRIM(F31)&lt;&gt;""),(F31*17.1)/T31,"")</f>
        <v/>
      </c>
      <c r="V31" s="25"/>
      <c r="W31" s="25" t="str">
        <f t="shared" ref="W31:W37" si="14">IF(AND($AC$64&lt;0.08,$M$71="YES",$AH$64&gt;=5000,F31&lt;&gt;"",F31&gt;0),0.01,"")</f>
        <v/>
      </c>
      <c r="X31" s="25"/>
      <c r="Y31" s="25"/>
      <c r="Z31" s="25"/>
      <c r="AA31" s="25"/>
      <c r="AB31" s="25"/>
      <c r="AC31" s="25" t="str">
        <f>IF(AND(B31 = 1, F31 &lt;&gt;""), $AC$64,"")</f>
        <v/>
      </c>
      <c r="AD31" s="25"/>
      <c r="AE31" s="25"/>
      <c r="AF31" s="25"/>
      <c r="AG31" s="25">
        <v>1</v>
      </c>
      <c r="AH31" s="22">
        <f t="shared" si="7"/>
        <v>0</v>
      </c>
      <c r="AI31" s="20"/>
      <c r="AK31" s="255" t="s">
        <v>15</v>
      </c>
      <c r="AL31" s="26" t="s">
        <v>16</v>
      </c>
      <c r="AM31" s="27" t="s">
        <v>17</v>
      </c>
      <c r="AN31" s="26" t="s">
        <v>18</v>
      </c>
      <c r="AO31" s="28" t="s">
        <v>19</v>
      </c>
      <c r="AP31" s="256" t="s">
        <v>20</v>
      </c>
    </row>
    <row r="32" spans="1:42" ht="17.45" customHeight="1" x14ac:dyDescent="0.2">
      <c r="A32" s="19">
        <v>1</v>
      </c>
      <c r="B32" s="19">
        <v>1</v>
      </c>
      <c r="C32" s="20" t="s">
        <v>100</v>
      </c>
      <c r="D32" s="20" t="s">
        <v>103</v>
      </c>
      <c r="E32" s="20" t="s">
        <v>102</v>
      </c>
      <c r="F32" s="181"/>
      <c r="G32" s="103">
        <v>1778</v>
      </c>
      <c r="H32" s="22" t="str">
        <f t="shared" si="8"/>
        <v/>
      </c>
      <c r="I32" s="103">
        <v>1601</v>
      </c>
      <c r="J32" s="124" t="str">
        <f t="shared" si="10"/>
        <v/>
      </c>
      <c r="K32" s="22"/>
      <c r="L32" s="22" t="str">
        <f t="shared" si="9"/>
        <v/>
      </c>
      <c r="M32" s="103"/>
      <c r="N32" s="125">
        <f t="shared" si="12"/>
        <v>0</v>
      </c>
      <c r="O32" s="124" t="str">
        <f t="shared" si="1"/>
        <v/>
      </c>
      <c r="P32" s="124" t="str">
        <f t="shared" si="2"/>
        <v/>
      </c>
      <c r="Q32" s="103">
        <v>1601</v>
      </c>
      <c r="R32" s="22" t="str">
        <f t="shared" si="13"/>
        <v/>
      </c>
      <c r="S32" s="231">
        <v>0.39</v>
      </c>
      <c r="T32" s="126">
        <f t="shared" si="4"/>
        <v>16.988400000000002</v>
      </c>
      <c r="U32" s="126" t="str">
        <f>IF(AND(TRIM(T32)&lt;&gt;"",TRIM(F32)&lt;&gt;""),(F32*17.1)/T32,"")</f>
        <v/>
      </c>
      <c r="V32" s="25"/>
      <c r="W32" s="25" t="str">
        <f t="shared" si="14"/>
        <v/>
      </c>
      <c r="X32" s="25"/>
      <c r="Y32" s="25"/>
      <c r="Z32" s="25"/>
      <c r="AA32" s="25"/>
      <c r="AB32" s="25"/>
      <c r="AC32" s="25" t="str">
        <f>IF(AND(B32 = 1, F32 &lt;&gt;""), $AC$64,"")</f>
        <v/>
      </c>
      <c r="AD32" s="25"/>
      <c r="AE32" s="25"/>
      <c r="AF32" s="25"/>
      <c r="AG32" s="25">
        <v>1</v>
      </c>
      <c r="AH32" s="22">
        <f t="shared" si="7"/>
        <v>0</v>
      </c>
      <c r="AI32" s="20"/>
      <c r="AK32" s="257" t="s">
        <v>104</v>
      </c>
      <c r="AL32" s="35" t="s">
        <v>71</v>
      </c>
      <c r="AM32" s="29">
        <v>4</v>
      </c>
      <c r="AN32" s="19" t="s">
        <v>105</v>
      </c>
      <c r="AO32" s="30">
        <v>2</v>
      </c>
      <c r="AP32" s="258">
        <f>(AM32*319.999849189052)/(AO32*43.56)</f>
        <v>14.692371404456013</v>
      </c>
    </row>
    <row r="33" spans="1:42" ht="24.95" customHeight="1" thickBot="1" x14ac:dyDescent="0.25">
      <c r="A33" s="19">
        <v>1</v>
      </c>
      <c r="B33" s="19">
        <v>1</v>
      </c>
      <c r="C33" s="20" t="s">
        <v>106</v>
      </c>
      <c r="D33" s="20" t="s">
        <v>107</v>
      </c>
      <c r="E33" s="20" t="s">
        <v>71</v>
      </c>
      <c r="F33" s="181"/>
      <c r="G33" s="142">
        <v>508.75</v>
      </c>
      <c r="H33" s="22" t="str">
        <f t="shared" si="8"/>
        <v/>
      </c>
      <c r="I33" s="142">
        <v>508.75</v>
      </c>
      <c r="J33" s="124" t="str">
        <f t="shared" si="10"/>
        <v/>
      </c>
      <c r="K33" s="22" t="str">
        <f>IF(F33 ="","",F33*Q33*V33)</f>
        <v/>
      </c>
      <c r="L33" s="22" t="str">
        <f t="shared" si="9"/>
        <v/>
      </c>
      <c r="M33" s="142"/>
      <c r="N33" s="125">
        <f t="shared" ca="1" si="12"/>
        <v>0</v>
      </c>
      <c r="O33" s="124" t="str">
        <f t="shared" si="1"/>
        <v/>
      </c>
      <c r="P33" s="124" t="str">
        <f t="shared" si="2"/>
        <v/>
      </c>
      <c r="Q33" s="142">
        <v>508.75</v>
      </c>
      <c r="R33" s="22" t="str">
        <f t="shared" si="13"/>
        <v/>
      </c>
      <c r="S33" s="231">
        <v>4</v>
      </c>
      <c r="T33" s="126">
        <f t="shared" si="4"/>
        <v>174.24</v>
      </c>
      <c r="U33" s="126" t="str">
        <f>IF(AND(TRIM(T33)&lt;&gt;"",TRIM(F33)&lt;&gt;""),(F33*319.999849189052)/T33,"")</f>
        <v/>
      </c>
      <c r="V33" s="25" t="str">
        <f ca="1">IF(AND(F33 &lt;&gt;"",F33&gt;0), IFERROR(VLOOKUP(F33,INDIRECT(AI33),3,TRUE),0), "")</f>
        <v/>
      </c>
      <c r="W33" s="25" t="str">
        <f t="shared" si="14"/>
        <v/>
      </c>
      <c r="X33" s="25"/>
      <c r="Y33" s="25"/>
      <c r="Z33" s="25"/>
      <c r="AA33" s="25"/>
      <c r="AB33" s="25"/>
      <c r="AC33" s="25" t="str">
        <f>IF(AND(B33 = 1, F33 &lt;&gt;""), $AC$64,"")</f>
        <v/>
      </c>
      <c r="AD33" s="25" t="str">
        <f>IF(F33 = "", "", IF(AND(AND(F33 &gt;= 6, F33 &lt;= 999999), AND(SUM(F36:F36) &gt;= 2, SUM(F36:F36) &lt; 999999)), 0.050602409638,""))</f>
        <v/>
      </c>
      <c r="AE33" s="25"/>
      <c r="AF33" s="25"/>
      <c r="AG33" s="25">
        <v>1</v>
      </c>
      <c r="AH33" s="22">
        <f t="shared" si="7"/>
        <v>0</v>
      </c>
      <c r="AI33" s="20" t="s">
        <v>108</v>
      </c>
      <c r="AK33" s="268" t="s">
        <v>109</v>
      </c>
      <c r="AL33" s="269" t="s">
        <v>110</v>
      </c>
      <c r="AM33" s="270" t="s">
        <v>111</v>
      </c>
      <c r="AN33" s="271" t="s">
        <v>112</v>
      </c>
      <c r="AO33" s="272">
        <v>4</v>
      </c>
      <c r="AP33" s="273">
        <f>(3*703.999999010471)/(AO33*43.56)</f>
        <v>12.121212104174775</v>
      </c>
    </row>
    <row r="34" spans="1:42" ht="17.45" customHeight="1" x14ac:dyDescent="0.2">
      <c r="A34" s="19">
        <v>1</v>
      </c>
      <c r="B34" s="19">
        <v>1</v>
      </c>
      <c r="C34" s="20" t="s">
        <v>106</v>
      </c>
      <c r="D34" s="20" t="s">
        <v>113</v>
      </c>
      <c r="E34" s="20" t="s">
        <v>71</v>
      </c>
      <c r="F34" s="181"/>
      <c r="G34" s="142">
        <v>508.75</v>
      </c>
      <c r="H34" s="22" t="str">
        <f t="shared" si="8"/>
        <v/>
      </c>
      <c r="I34" s="103">
        <v>447.5</v>
      </c>
      <c r="J34" s="124" t="str">
        <f t="shared" si="10"/>
        <v/>
      </c>
      <c r="K34" s="22" t="str">
        <f>IF(F34 ="","",F34*Q34*V34)</f>
        <v/>
      </c>
      <c r="L34" s="22" t="str">
        <f t="shared" si="9"/>
        <v/>
      </c>
      <c r="M34" s="103"/>
      <c r="N34" s="125">
        <f t="shared" ca="1" si="12"/>
        <v>0</v>
      </c>
      <c r="O34" s="124" t="str">
        <f t="shared" si="1"/>
        <v/>
      </c>
      <c r="P34" s="124" t="str">
        <f t="shared" si="2"/>
        <v/>
      </c>
      <c r="Q34" s="103">
        <v>447.5</v>
      </c>
      <c r="R34" s="22" t="str">
        <f t="shared" si="13"/>
        <v/>
      </c>
      <c r="S34" s="231">
        <v>4</v>
      </c>
      <c r="T34" s="126">
        <f t="shared" si="4"/>
        <v>174.24</v>
      </c>
      <c r="U34" s="126" t="str">
        <f>IF(AND(TRIM(T34)&lt;&gt;"",TRIM(F34)&lt;&gt;""),(F34*319.999849189052)/T34,"")</f>
        <v/>
      </c>
      <c r="V34" s="25" t="str">
        <f ca="1">IF(AND(F34 &lt;&gt;"",F34&gt;0), IFERROR(VLOOKUP(F34,INDIRECT(AI34),3,TRUE),0), "")</f>
        <v/>
      </c>
      <c r="W34" s="25" t="str">
        <f t="shared" si="14"/>
        <v/>
      </c>
      <c r="X34" s="25"/>
      <c r="Y34" s="25"/>
      <c r="Z34" s="25"/>
      <c r="AA34" s="25"/>
      <c r="AB34" s="25"/>
      <c r="AC34" s="25" t="str">
        <f>IF(AND(B34 = 1, F34 &lt;&gt;""), $AC$64,"")</f>
        <v/>
      </c>
      <c r="AD34" s="25" t="str">
        <f>IF(F34 = "", "", IF(AND(AND(F34 &gt;= 6, F34 &lt;= 999999), AND(SUM(F36:F36) &gt;= 2, SUM(F36:F36) &lt; 999999)), 0.046927374301676,""))</f>
        <v/>
      </c>
      <c r="AE34" s="25"/>
      <c r="AF34" s="25"/>
      <c r="AG34" s="25">
        <v>1</v>
      </c>
      <c r="AH34" s="22">
        <f t="shared" si="7"/>
        <v>0</v>
      </c>
      <c r="AI34" s="20" t="s">
        <v>108</v>
      </c>
    </row>
    <row r="35" spans="1:42" ht="17.45" customHeight="1" thickBot="1" x14ac:dyDescent="0.25">
      <c r="A35" s="19"/>
      <c r="B35" s="19">
        <v>1</v>
      </c>
      <c r="C35" s="20"/>
      <c r="D35" s="20" t="s">
        <v>114</v>
      </c>
      <c r="E35" s="20" t="s">
        <v>115</v>
      </c>
      <c r="F35" s="181"/>
      <c r="G35" s="324">
        <v>1570.8</v>
      </c>
      <c r="H35" s="22" t="str">
        <f t="shared" si="8"/>
        <v/>
      </c>
      <c r="I35" s="142">
        <v>1570.8</v>
      </c>
      <c r="J35" s="124" t="str">
        <f t="shared" si="10"/>
        <v/>
      </c>
      <c r="K35" s="22" t="str">
        <f>IF(F35 ="","",F35*Q35*V35)</f>
        <v/>
      </c>
      <c r="L35" s="22" t="str">
        <f t="shared" si="9"/>
        <v/>
      </c>
      <c r="M35" s="103"/>
      <c r="N35" s="125">
        <f t="shared" ca="1" si="12"/>
        <v>0</v>
      </c>
      <c r="O35" s="124" t="str">
        <f t="shared" si="1"/>
        <v/>
      </c>
      <c r="P35" s="124" t="str">
        <f t="shared" si="2"/>
        <v/>
      </c>
      <c r="Q35" s="324">
        <v>1570.8</v>
      </c>
      <c r="R35" s="22" t="str">
        <f t="shared" si="13"/>
        <v/>
      </c>
      <c r="S35" s="240">
        <v>0.17199999999999999</v>
      </c>
      <c r="T35" s="126">
        <f t="shared" si="4"/>
        <v>7.4923199999999994</v>
      </c>
      <c r="U35" s="126" t="str">
        <f>IF(AND(TRIM(T35)&lt;&gt;"",TRIM(F35)&lt;&gt;""),(F35*176)/T35,"")</f>
        <v/>
      </c>
      <c r="V35" s="25" t="str">
        <f ca="1">IF(AND(F35 &lt;&gt;"",F35&gt;0), IFERROR(VLOOKUP(F35,INDIRECT(AI35),3,TRUE),0), "")</f>
        <v/>
      </c>
      <c r="W35" s="25" t="str">
        <f t="shared" si="14"/>
        <v/>
      </c>
      <c r="X35" s="25"/>
      <c r="Y35" s="25"/>
      <c r="Z35" s="25"/>
      <c r="AA35" s="25"/>
      <c r="AB35" s="25"/>
      <c r="AC35" s="25" t="str">
        <f t="shared" ref="AC35" si="15">IF(AND(B35 = 1, F35 &lt;&gt;""), $AC$64,"")</f>
        <v/>
      </c>
      <c r="AD35" s="25"/>
      <c r="AE35" s="25"/>
      <c r="AF35" s="25"/>
      <c r="AG35" s="25">
        <v>1</v>
      </c>
      <c r="AH35" s="22">
        <f t="shared" ref="AH35:AH40" si="16">IF(F35 = "",0,Q35*F35)</f>
        <v>0</v>
      </c>
      <c r="AI35" s="20" t="s">
        <v>116</v>
      </c>
    </row>
    <row r="36" spans="1:42" ht="17.45" customHeight="1" x14ac:dyDescent="0.2">
      <c r="A36" s="19">
        <v>1</v>
      </c>
      <c r="B36" s="19">
        <v>1</v>
      </c>
      <c r="C36" s="20" t="s">
        <v>117</v>
      </c>
      <c r="D36" s="20" t="s">
        <v>118</v>
      </c>
      <c r="E36" s="20" t="s">
        <v>71</v>
      </c>
      <c r="F36" s="181"/>
      <c r="G36" s="103">
        <v>444.75</v>
      </c>
      <c r="H36" s="22" t="str">
        <f t="shared" si="8"/>
        <v/>
      </c>
      <c r="I36" s="103">
        <v>444.75</v>
      </c>
      <c r="J36" s="124" t="str">
        <f t="shared" si="10"/>
        <v/>
      </c>
      <c r="K36" s="22" t="str">
        <f>IF(F36 ="","",F36*Q36*V36)</f>
        <v/>
      </c>
      <c r="L36" s="22" t="str">
        <f t="shared" si="9"/>
        <v/>
      </c>
      <c r="M36" s="103"/>
      <c r="N36" s="125">
        <f t="shared" ca="1" si="12"/>
        <v>0</v>
      </c>
      <c r="O36" s="124" t="str">
        <f>IF(F36 ="","",F36*N36*Q36)</f>
        <v/>
      </c>
      <c r="P36" s="124" t="str">
        <f t="shared" si="2"/>
        <v/>
      </c>
      <c r="Q36" s="103">
        <v>444.75</v>
      </c>
      <c r="R36" s="22" t="str">
        <f t="shared" si="13"/>
        <v/>
      </c>
      <c r="S36" s="231">
        <v>1</v>
      </c>
      <c r="T36" s="126">
        <f t="shared" si="4"/>
        <v>43.56</v>
      </c>
      <c r="U36" s="126" t="str">
        <f>IF(AND(TRIM(T36)&lt;&gt;"",TRIM(F36)&lt;&gt;""),(F36*319.999849189052)/T36,"")</f>
        <v/>
      </c>
      <c r="V36" s="25" t="str">
        <f ca="1">IF(AND(F36 &lt;&gt;"",F36&gt;0), IFERROR(VLOOKUP(F36,INDIRECT(AI36),3,TRUE),0), "")</f>
        <v/>
      </c>
      <c r="W36" s="25" t="str">
        <f t="shared" si="14"/>
        <v/>
      </c>
      <c r="X36" s="25"/>
      <c r="Y36" s="25"/>
      <c r="Z36" s="25"/>
      <c r="AA36" s="25"/>
      <c r="AB36" s="25"/>
      <c r="AC36" s="25" t="str">
        <f>IF(AND(B36 = 1, F36 &lt;&gt;""), $AC$64,"")</f>
        <v/>
      </c>
      <c r="AD36" s="25" t="str">
        <f>IF(F36 = "", "", IF(AND(AND(F36 &gt;= 2, F36 &lt;= 999999), AND(SUM(F33:F34) &gt;= 6, SUM(F33:F34) &lt; 999999)), 0.0472175379426644,""))</f>
        <v/>
      </c>
      <c r="AE36" s="25"/>
      <c r="AF36" s="25"/>
      <c r="AG36" s="25">
        <v>1</v>
      </c>
      <c r="AH36" s="22">
        <f t="shared" si="16"/>
        <v>0</v>
      </c>
      <c r="AI36" s="20" t="s">
        <v>119</v>
      </c>
      <c r="AK36" s="413" t="s">
        <v>120</v>
      </c>
      <c r="AL36" s="414"/>
      <c r="AM36" s="414"/>
      <c r="AN36" s="414"/>
      <c r="AO36" s="414"/>
      <c r="AP36" s="415"/>
    </row>
    <row r="37" spans="1:42" ht="17.45" customHeight="1" x14ac:dyDescent="0.2">
      <c r="A37" s="19">
        <v>1</v>
      </c>
      <c r="B37" s="19">
        <v>1</v>
      </c>
      <c r="C37" s="20" t="s">
        <v>121</v>
      </c>
      <c r="D37" s="20" t="s">
        <v>122</v>
      </c>
      <c r="E37" s="20" t="s">
        <v>123</v>
      </c>
      <c r="F37" s="181"/>
      <c r="G37" s="103">
        <v>674.25</v>
      </c>
      <c r="H37" s="22" t="str">
        <f t="shared" si="8"/>
        <v/>
      </c>
      <c r="I37" s="103">
        <v>674.25</v>
      </c>
      <c r="J37" s="124" t="str">
        <f t="shared" si="10"/>
        <v/>
      </c>
      <c r="K37" s="22"/>
      <c r="L37" s="22" t="str">
        <f t="shared" si="9"/>
        <v/>
      </c>
      <c r="M37" s="103"/>
      <c r="N37" s="125">
        <f t="shared" si="12"/>
        <v>0</v>
      </c>
      <c r="O37" s="124" t="str">
        <f>IF(F37 ="","",F37*N37*Q37)</f>
        <v/>
      </c>
      <c r="P37" s="124" t="str">
        <f t="shared" si="2"/>
        <v/>
      </c>
      <c r="Q37" s="103">
        <v>674.25</v>
      </c>
      <c r="R37" s="22" t="str">
        <f t="shared" si="13"/>
        <v/>
      </c>
      <c r="S37" s="244">
        <f>T37/43.56</f>
        <v>0.39990817263544537</v>
      </c>
      <c r="T37" s="242">
        <v>17.420000000000002</v>
      </c>
      <c r="U37" s="126" t="str">
        <f>IF(AND(TRIM(T37)&lt;&gt;"",TRIM(F37)&lt;&gt;""),(F37*87)/T37,"")</f>
        <v/>
      </c>
      <c r="V37" s="25"/>
      <c r="W37" s="25" t="str">
        <f t="shared" si="14"/>
        <v/>
      </c>
      <c r="X37" s="25"/>
      <c r="Y37" s="25"/>
      <c r="Z37" s="25"/>
      <c r="AA37" s="25"/>
      <c r="AB37" s="25"/>
      <c r="AC37" s="25" t="str">
        <f>IF(AND(B37 = 1, F37 &lt;&gt;""), $AC$64,"")</f>
        <v/>
      </c>
      <c r="AD37" s="25"/>
      <c r="AE37" s="25"/>
      <c r="AF37" s="25"/>
      <c r="AG37" s="25">
        <v>1</v>
      </c>
      <c r="AH37" s="22">
        <f t="shared" si="16"/>
        <v>0</v>
      </c>
      <c r="AI37" s="20"/>
      <c r="AK37" s="416"/>
      <c r="AL37" s="417"/>
      <c r="AM37" s="417"/>
      <c r="AN37" s="417"/>
      <c r="AO37" s="417"/>
      <c r="AP37" s="418"/>
    </row>
    <row r="38" spans="1:42" ht="17.45" customHeight="1" x14ac:dyDescent="0.2">
      <c r="A38" s="19"/>
      <c r="B38" s="19">
        <v>1</v>
      </c>
      <c r="C38" s="20"/>
      <c r="D38" s="230" t="s">
        <v>124</v>
      </c>
      <c r="E38" s="20" t="s">
        <v>71</v>
      </c>
      <c r="F38" s="182"/>
      <c r="G38" s="103">
        <v>491.65</v>
      </c>
      <c r="H38" s="22" t="str">
        <f t="shared" si="8"/>
        <v/>
      </c>
      <c r="I38" s="103">
        <v>491.65</v>
      </c>
      <c r="J38" s="124" t="str">
        <f t="shared" si="10"/>
        <v/>
      </c>
      <c r="K38" s="22"/>
      <c r="L38" s="22" t="str">
        <f t="shared" si="9"/>
        <v/>
      </c>
      <c r="M38" s="103"/>
      <c r="N38" s="125"/>
      <c r="O38" s="124"/>
      <c r="P38" s="124" t="str">
        <f t="shared" si="2"/>
        <v/>
      </c>
      <c r="Q38" s="103">
        <v>491.65</v>
      </c>
      <c r="R38" s="22" t="str">
        <f t="shared" si="13"/>
        <v/>
      </c>
      <c r="S38" s="244">
        <f>T38/43.56</f>
        <v>2.3298898071625342</v>
      </c>
      <c r="T38" s="241">
        <v>101.49</v>
      </c>
      <c r="U38" s="126" t="str">
        <f>IF(AND(TRIM(T38)&lt;&gt;"",TRIM(F38)&lt;&gt;""),(F38*319.999849189052)/T38,"")</f>
        <v/>
      </c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>
        <v>1</v>
      </c>
      <c r="AH38" s="22">
        <f t="shared" si="16"/>
        <v>0</v>
      </c>
      <c r="AI38" s="20"/>
      <c r="AK38" s="419"/>
      <c r="AL38" s="420"/>
      <c r="AM38" s="420"/>
      <c r="AN38" s="420"/>
      <c r="AO38" s="420"/>
      <c r="AP38" s="421"/>
    </row>
    <row r="39" spans="1:42" ht="16.5" customHeight="1" x14ac:dyDescent="0.2">
      <c r="A39" s="19"/>
      <c r="B39" s="19">
        <v>1</v>
      </c>
      <c r="C39" s="20"/>
      <c r="D39" s="230" t="s">
        <v>125</v>
      </c>
      <c r="E39" s="20" t="s">
        <v>71</v>
      </c>
      <c r="F39" s="182"/>
      <c r="G39" s="103">
        <v>491.65</v>
      </c>
      <c r="H39" s="22" t="str">
        <f t="shared" si="8"/>
        <v/>
      </c>
      <c r="I39" s="103">
        <v>403.5</v>
      </c>
      <c r="J39" s="124" t="str">
        <f t="shared" si="10"/>
        <v/>
      </c>
      <c r="K39" s="22"/>
      <c r="L39" s="22" t="str">
        <f t="shared" si="9"/>
        <v/>
      </c>
      <c r="M39" s="103"/>
      <c r="N39" s="125"/>
      <c r="O39" s="124"/>
      <c r="P39" s="124" t="str">
        <f t="shared" si="2"/>
        <v/>
      </c>
      <c r="Q39" s="103">
        <v>403.5</v>
      </c>
      <c r="R39" s="22" t="str">
        <f t="shared" si="13"/>
        <v/>
      </c>
      <c r="S39" s="244">
        <f>T39/43.56</f>
        <v>2.3298898071625342</v>
      </c>
      <c r="T39" s="241">
        <v>101.49</v>
      </c>
      <c r="U39" s="126" t="str">
        <f>IF(AND(TRIM(T39)&lt;&gt;"",TRIM(F39)&lt;&gt;""),(F39*319.999849189052)/T39,"")</f>
        <v/>
      </c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>
        <v>1</v>
      </c>
      <c r="AH39" s="22">
        <f t="shared" si="16"/>
        <v>0</v>
      </c>
      <c r="AI39" s="20"/>
      <c r="AK39" s="274"/>
      <c r="AL39" s="252"/>
      <c r="AM39" s="252"/>
      <c r="AN39" s="252"/>
      <c r="AO39" s="252"/>
      <c r="AP39" s="275"/>
    </row>
    <row r="40" spans="1:42" ht="26.1" customHeight="1" x14ac:dyDescent="0.2">
      <c r="A40" s="19"/>
      <c r="B40" s="19">
        <v>1</v>
      </c>
      <c r="C40" s="20"/>
      <c r="D40" s="230" t="s">
        <v>126</v>
      </c>
      <c r="E40" s="20" t="s">
        <v>71</v>
      </c>
      <c r="F40" s="182"/>
      <c r="G40" s="103">
        <v>491.65</v>
      </c>
      <c r="H40" s="22" t="str">
        <f t="shared" si="8"/>
        <v/>
      </c>
      <c r="I40" s="103">
        <v>350</v>
      </c>
      <c r="J40" s="124" t="str">
        <f t="shared" si="10"/>
        <v/>
      </c>
      <c r="K40" s="22"/>
      <c r="L40" s="22" t="str">
        <f t="shared" si="9"/>
        <v/>
      </c>
      <c r="M40" s="103"/>
      <c r="N40" s="125"/>
      <c r="O40" s="124"/>
      <c r="P40" s="124" t="str">
        <f t="shared" si="2"/>
        <v/>
      </c>
      <c r="Q40" s="103">
        <v>350</v>
      </c>
      <c r="R40" s="22" t="str">
        <f t="shared" si="13"/>
        <v/>
      </c>
      <c r="S40" s="244">
        <f>T40/43.56</f>
        <v>2.3298898071625342</v>
      </c>
      <c r="T40" s="241">
        <v>101.49</v>
      </c>
      <c r="U40" s="126" t="str">
        <f>IF(AND(TRIM(T40)&lt;&gt;"",TRIM(F40)&lt;&gt;""),(F40*319.999849189052)/T40,"")</f>
        <v/>
      </c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>
        <v>1</v>
      </c>
      <c r="AH40" s="22">
        <f t="shared" si="16"/>
        <v>0</v>
      </c>
      <c r="AI40" s="20"/>
      <c r="AK40" s="276" t="s">
        <v>15</v>
      </c>
      <c r="AL40" s="251" t="s">
        <v>16</v>
      </c>
      <c r="AM40" s="251" t="s">
        <v>17</v>
      </c>
      <c r="AN40" s="251" t="s">
        <v>18</v>
      </c>
      <c r="AO40" s="251" t="s">
        <v>19</v>
      </c>
      <c r="AP40" s="277" t="s">
        <v>20</v>
      </c>
    </row>
    <row r="41" spans="1:42" ht="17.45" customHeight="1" x14ac:dyDescent="0.2">
      <c r="A41" s="19">
        <v>1</v>
      </c>
      <c r="B41" s="19">
        <v>1</v>
      </c>
      <c r="C41" s="20" t="s">
        <v>127</v>
      </c>
      <c r="D41" s="20" t="s">
        <v>128</v>
      </c>
      <c r="E41" s="20" t="s">
        <v>129</v>
      </c>
      <c r="F41" s="181"/>
      <c r="G41" s="103">
        <v>190.25</v>
      </c>
      <c r="H41" s="22" t="str">
        <f t="shared" si="8"/>
        <v/>
      </c>
      <c r="I41" s="103">
        <v>190.25</v>
      </c>
      <c r="J41" s="124" t="str">
        <f t="shared" si="10"/>
        <v/>
      </c>
      <c r="K41" s="22"/>
      <c r="L41" s="22" t="str">
        <f t="shared" si="9"/>
        <v/>
      </c>
      <c r="M41" s="103"/>
      <c r="N41" s="125">
        <f t="shared" si="12"/>
        <v>0</v>
      </c>
      <c r="O41" s="124" t="str">
        <f t="shared" ref="O41:O48" si="17">IF(F41 ="","",F41*N41*Q41)</f>
        <v/>
      </c>
      <c r="P41" s="124" t="str">
        <f t="shared" si="2"/>
        <v/>
      </c>
      <c r="Q41" s="103">
        <v>190.25</v>
      </c>
      <c r="R41" s="22" t="str">
        <f t="shared" ref="R41:R48" si="18">IF(AND(F41&lt;&gt;"",F41&gt;0), F41*P41,"")</f>
        <v/>
      </c>
      <c r="S41" s="231">
        <v>4</v>
      </c>
      <c r="T41" s="126">
        <f t="shared" si="4"/>
        <v>174.24</v>
      </c>
      <c r="U41" s="126" t="str">
        <f>IF(AND(TRIM(T41)&lt;&gt;"",TRIM(F41)&lt;&gt;""),(F41*87.9999998763089)/T41,"")</f>
        <v/>
      </c>
      <c r="V41" s="25"/>
      <c r="W41" s="25" t="str">
        <f>IF(AND($AC$64&lt;0.08,$M$71="YES",$AH$64&gt;=5000,F41&lt;&gt;"",F41&gt;0),0.01,"")</f>
        <v/>
      </c>
      <c r="X41" s="25"/>
      <c r="Y41" s="25"/>
      <c r="Z41" s="25"/>
      <c r="AA41" s="25"/>
      <c r="AB41" s="25"/>
      <c r="AC41" s="25" t="str">
        <f>IF(AND(B41 = 1, F41 &lt;&gt;""), $AC$64,"")</f>
        <v/>
      </c>
      <c r="AD41" s="25" t="str">
        <f>IF(F41 = "", "", IF(AND(AND(F41 &gt;= 24, F41 &lt;= 999999), AND(SUM(F20:F20) &gt;= 4, SUM(F20:F20) &lt; 999999)), 0.025,""))</f>
        <v/>
      </c>
      <c r="AE41" s="25"/>
      <c r="AF41" s="25"/>
      <c r="AG41" s="25">
        <v>1</v>
      </c>
      <c r="AH41" s="22">
        <f t="shared" ref="AH41:AH46" si="19">IF(F41 = "",0,Q41*F41)</f>
        <v>0</v>
      </c>
      <c r="AI41" s="20" t="s">
        <v>130</v>
      </c>
      <c r="AK41" s="278" t="s">
        <v>131</v>
      </c>
      <c r="AL41" s="246" t="s">
        <v>75</v>
      </c>
      <c r="AM41" s="246">
        <v>16</v>
      </c>
      <c r="AN41" s="246" t="s">
        <v>132</v>
      </c>
      <c r="AO41" s="247">
        <v>0.113</v>
      </c>
      <c r="AP41" s="279">
        <v>32.51</v>
      </c>
    </row>
    <row r="42" spans="1:42" ht="17.45" customHeight="1" thickBot="1" x14ac:dyDescent="0.25">
      <c r="A42" s="19">
        <v>1</v>
      </c>
      <c r="B42" s="19">
        <v>1</v>
      </c>
      <c r="C42" s="20" t="s">
        <v>127</v>
      </c>
      <c r="D42" s="20" t="s">
        <v>133</v>
      </c>
      <c r="E42" s="20" t="s">
        <v>129</v>
      </c>
      <c r="F42" s="181"/>
      <c r="G42" s="103">
        <v>190.25</v>
      </c>
      <c r="H42" s="22" t="str">
        <f t="shared" si="8"/>
        <v/>
      </c>
      <c r="I42" s="103">
        <v>174</v>
      </c>
      <c r="J42" s="124" t="str">
        <f t="shared" si="10"/>
        <v/>
      </c>
      <c r="K42" s="22"/>
      <c r="L42" s="22" t="str">
        <f t="shared" si="9"/>
        <v/>
      </c>
      <c r="M42" s="103"/>
      <c r="N42" s="125">
        <f t="shared" si="12"/>
        <v>0</v>
      </c>
      <c r="O42" s="124" t="str">
        <f t="shared" si="17"/>
        <v/>
      </c>
      <c r="P42" s="124" t="str">
        <f t="shared" si="2"/>
        <v/>
      </c>
      <c r="Q42" s="103">
        <v>174</v>
      </c>
      <c r="R42" s="22" t="str">
        <f t="shared" si="18"/>
        <v/>
      </c>
      <c r="S42" s="231">
        <v>4</v>
      </c>
      <c r="T42" s="126">
        <f t="shared" si="4"/>
        <v>174.24</v>
      </c>
      <c r="U42" s="126" t="str">
        <f>IF(AND(TRIM(T42)&lt;&gt;"",TRIM(F42)&lt;&gt;""),(F42*87.9999998763089)/T42,"")</f>
        <v/>
      </c>
      <c r="V42" s="25"/>
      <c r="W42" s="25" t="str">
        <f>IF(AND($AC$64&lt;0.08,$M$71="YES",$AH$64&gt;=5000,F42&lt;&gt;"",F42&gt;0),0.01,"")</f>
        <v/>
      </c>
      <c r="X42" s="25"/>
      <c r="Y42" s="25"/>
      <c r="Z42" s="25"/>
      <c r="AA42" s="25"/>
      <c r="AB42" s="25"/>
      <c r="AC42" s="25" t="str">
        <f>IF(AND(B42 = 1, F42 &lt;&gt;""), $AC$64,"")</f>
        <v/>
      </c>
      <c r="AD42" s="25" t="str">
        <f>IF(F42 = "", "", IF(AND(AND(F42 &gt;= 24, F42 &lt;= 999999), AND(SUM(F20:F20) &gt;= 4, SUM(F20:F20) &lt; 999999)), 0.0517241379310345,""))</f>
        <v/>
      </c>
      <c r="AE42" s="25"/>
      <c r="AF42" s="25"/>
      <c r="AG42" s="25">
        <v>1</v>
      </c>
      <c r="AH42" s="22">
        <f t="shared" si="19"/>
        <v>0</v>
      </c>
      <c r="AI42" s="20" t="s">
        <v>130</v>
      </c>
      <c r="AK42" s="280" t="s">
        <v>134</v>
      </c>
      <c r="AL42" s="281" t="s">
        <v>26</v>
      </c>
      <c r="AM42" s="281">
        <v>2</v>
      </c>
      <c r="AN42" s="281" t="s">
        <v>85</v>
      </c>
      <c r="AO42" s="282">
        <v>0.13800000000000001</v>
      </c>
      <c r="AP42" s="283">
        <v>42.59</v>
      </c>
    </row>
    <row r="43" spans="1:42" ht="17.45" customHeight="1" x14ac:dyDescent="0.2">
      <c r="A43" s="19">
        <v>1</v>
      </c>
      <c r="B43" s="19">
        <v>1</v>
      </c>
      <c r="C43" s="20" t="s">
        <v>135</v>
      </c>
      <c r="D43" s="95" t="s">
        <v>136</v>
      </c>
      <c r="E43" s="95" t="s">
        <v>84</v>
      </c>
      <c r="F43" s="182"/>
      <c r="G43" s="103">
        <v>1898.25</v>
      </c>
      <c r="H43" s="22" t="str">
        <f t="shared" si="8"/>
        <v/>
      </c>
      <c r="I43" s="103">
        <v>1898.25</v>
      </c>
      <c r="J43" s="124" t="str">
        <f>IF(F43*I43= 0,"",F43*I43)</f>
        <v/>
      </c>
      <c r="K43" s="22"/>
      <c r="L43" s="22" t="str">
        <f t="shared" si="9"/>
        <v/>
      </c>
      <c r="M43" s="103"/>
      <c r="N43" s="125">
        <f t="shared" si="12"/>
        <v>0</v>
      </c>
      <c r="O43" s="124" t="str">
        <f t="shared" si="17"/>
        <v/>
      </c>
      <c r="P43" s="124" t="str">
        <f>IF(AND(F43&lt;&gt;"",F43&gt;0),((J43/F43)-(O43/F43)),"")</f>
        <v/>
      </c>
      <c r="Q43" s="103">
        <v>1898.25</v>
      </c>
      <c r="R43" s="22" t="str">
        <f>IF(AND(F43&lt;&gt;"",F43&gt;0), F43*P43,"")</f>
        <v/>
      </c>
      <c r="S43" s="244">
        <f>T43/43.56</f>
        <v>0.1379706152433425</v>
      </c>
      <c r="T43" s="242">
        <v>6.01</v>
      </c>
      <c r="U43" s="126" t="str">
        <f>IF(AND(TRIM(T43)&lt;&gt;"",TRIM(F43)&lt;&gt;""),(F43*127.999939675621)/T43,"")</f>
        <v/>
      </c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>
        <v>1</v>
      </c>
      <c r="AH43" s="22">
        <f t="shared" si="19"/>
        <v>0</v>
      </c>
      <c r="AI43" s="20"/>
    </row>
    <row r="44" spans="1:42" ht="23.45" customHeight="1" thickBot="1" x14ac:dyDescent="0.25">
      <c r="A44" s="19">
        <v>1</v>
      </c>
      <c r="B44" s="19">
        <v>1</v>
      </c>
      <c r="C44" s="20" t="s">
        <v>135</v>
      </c>
      <c r="D44" s="95" t="s">
        <v>137</v>
      </c>
      <c r="E44" s="95" t="s">
        <v>84</v>
      </c>
      <c r="F44" s="182"/>
      <c r="G44" s="103">
        <v>1898.25</v>
      </c>
      <c r="H44" s="22" t="str">
        <f t="shared" si="8"/>
        <v/>
      </c>
      <c r="I44" s="103">
        <v>1629.4</v>
      </c>
      <c r="J44" s="124" t="str">
        <f t="shared" si="10"/>
        <v/>
      </c>
      <c r="K44" s="22"/>
      <c r="L44" s="22" t="str">
        <f t="shared" si="9"/>
        <v/>
      </c>
      <c r="M44" s="103"/>
      <c r="N44" s="125">
        <f t="shared" si="12"/>
        <v>0</v>
      </c>
      <c r="O44" s="124" t="str">
        <f t="shared" si="17"/>
        <v/>
      </c>
      <c r="P44" s="124" t="str">
        <f t="shared" si="2"/>
        <v/>
      </c>
      <c r="Q44" s="103">
        <v>1629.4</v>
      </c>
      <c r="R44" s="22" t="str">
        <f t="shared" si="18"/>
        <v/>
      </c>
      <c r="S44" s="244">
        <f>T44/43.56</f>
        <v>0.1379706152433425</v>
      </c>
      <c r="T44" s="242">
        <v>6.01</v>
      </c>
      <c r="U44" s="126" t="str">
        <f>IF(AND(TRIM(T44)&lt;&gt;"",TRIM(F44)&lt;&gt;""),(F44*127.999939675621)/T44,"")</f>
        <v/>
      </c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>
        <v>1</v>
      </c>
      <c r="AH44" s="22">
        <f t="shared" si="19"/>
        <v>0</v>
      </c>
      <c r="AI44" s="20"/>
    </row>
    <row r="45" spans="1:42" ht="17.45" customHeight="1" x14ac:dyDescent="0.2">
      <c r="A45" s="19">
        <v>1</v>
      </c>
      <c r="B45" s="19">
        <v>1</v>
      </c>
      <c r="C45" s="20" t="s">
        <v>135</v>
      </c>
      <c r="D45" s="95" t="s">
        <v>138</v>
      </c>
      <c r="E45" s="95" t="s">
        <v>84</v>
      </c>
      <c r="F45" s="182"/>
      <c r="G45" s="103">
        <v>1898.25</v>
      </c>
      <c r="H45" s="22" t="str">
        <f t="shared" si="8"/>
        <v/>
      </c>
      <c r="I45" s="103">
        <v>1463.7</v>
      </c>
      <c r="J45" s="124" t="str">
        <f t="shared" si="10"/>
        <v/>
      </c>
      <c r="K45" s="22"/>
      <c r="L45" s="22" t="str">
        <f t="shared" si="9"/>
        <v/>
      </c>
      <c r="M45" s="103"/>
      <c r="N45" s="125">
        <f t="shared" si="12"/>
        <v>0</v>
      </c>
      <c r="O45" s="124" t="str">
        <f t="shared" si="17"/>
        <v/>
      </c>
      <c r="P45" s="124" t="str">
        <f t="shared" si="2"/>
        <v/>
      </c>
      <c r="Q45" s="103">
        <v>1463.7</v>
      </c>
      <c r="R45" s="22" t="str">
        <f t="shared" si="18"/>
        <v/>
      </c>
      <c r="S45" s="244">
        <f>T45/43.56</f>
        <v>0.1379706152433425</v>
      </c>
      <c r="T45" s="242">
        <v>6.01</v>
      </c>
      <c r="U45" s="126" t="str">
        <f>IF(AND(TRIM(T45)&lt;&gt;"",TRIM(F45)&lt;&gt;""),(F45*127.999939675621)/T45,"")</f>
        <v/>
      </c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>
        <v>1</v>
      </c>
      <c r="AH45" s="22">
        <f t="shared" si="19"/>
        <v>0</v>
      </c>
      <c r="AI45" s="20"/>
      <c r="AK45" s="413" t="s">
        <v>139</v>
      </c>
      <c r="AL45" s="414"/>
      <c r="AM45" s="414"/>
      <c r="AN45" s="414"/>
      <c r="AO45" s="414"/>
      <c r="AP45" s="415"/>
    </row>
    <row r="46" spans="1:42" ht="23.1" customHeight="1" x14ac:dyDescent="0.2">
      <c r="A46" s="19">
        <v>1</v>
      </c>
      <c r="B46" s="19">
        <v>1</v>
      </c>
      <c r="C46" s="20" t="s">
        <v>140</v>
      </c>
      <c r="D46" s="20" t="s">
        <v>141</v>
      </c>
      <c r="E46" s="20" t="s">
        <v>142</v>
      </c>
      <c r="F46" s="181"/>
      <c r="G46" s="103">
        <v>110.5</v>
      </c>
      <c r="H46" s="22" t="str">
        <f t="shared" si="8"/>
        <v/>
      </c>
      <c r="I46" s="103">
        <v>110.5</v>
      </c>
      <c r="J46" s="124" t="str">
        <f t="shared" si="10"/>
        <v/>
      </c>
      <c r="K46" s="22" t="str">
        <f>IF(F46 ="","",F46*Q46*V46)</f>
        <v/>
      </c>
      <c r="L46" s="22" t="str">
        <f t="shared" si="9"/>
        <v/>
      </c>
      <c r="M46" s="103"/>
      <c r="N46" s="125">
        <f t="shared" ca="1" si="12"/>
        <v>0</v>
      </c>
      <c r="O46" s="124" t="str">
        <f t="shared" si="17"/>
        <v/>
      </c>
      <c r="P46" s="124" t="str">
        <f>IF(AND(F46&lt;&gt;"",F46&gt;0),((J46/F46)-(O46/F46)),"")</f>
        <v/>
      </c>
      <c r="Q46" s="103">
        <v>110.5</v>
      </c>
      <c r="R46" s="22" t="str">
        <f>IF(AND(F46&lt;&gt;"",F46&gt;0), F46*P46,"")</f>
        <v/>
      </c>
      <c r="S46" s="244">
        <f>T46/43.56</f>
        <v>3.4499540863177227</v>
      </c>
      <c r="T46" s="242">
        <v>150.28</v>
      </c>
      <c r="U46" s="126" t="str">
        <f>IF(AND(TRIM(T46)&lt;&gt;"",TRIM(F46)&lt;&gt;""),(F46*50)/T46,"")</f>
        <v/>
      </c>
      <c r="V46" s="25" t="str">
        <f ca="1">IF(AND(F46 &lt;&gt;"",F46&gt;0), IFERROR(VLOOKUP(F46,INDIRECT(AI46),3,TRUE),0), "")</f>
        <v/>
      </c>
      <c r="W46" s="25" t="str">
        <f>IF(AND($AC$64&lt;0.08,$M$71="YES",$AH$64&gt;=5000,F46&lt;&gt;"",F46&gt;0),0.01,"")</f>
        <v/>
      </c>
      <c r="X46" s="25"/>
      <c r="Y46" s="25"/>
      <c r="Z46" s="25"/>
      <c r="AA46" s="25"/>
      <c r="AB46" s="25"/>
      <c r="AC46" s="25" t="str">
        <f>IF(AND(B46 = 1, F46 &lt;&gt;""), $AC$64,"")</f>
        <v/>
      </c>
      <c r="AD46" s="25"/>
      <c r="AE46" s="25"/>
      <c r="AF46" s="25"/>
      <c r="AG46" s="25">
        <v>1</v>
      </c>
      <c r="AH46" s="22">
        <f t="shared" si="19"/>
        <v>0</v>
      </c>
      <c r="AI46" s="20" t="s">
        <v>143</v>
      </c>
      <c r="AK46" s="416"/>
      <c r="AL46" s="417"/>
      <c r="AM46" s="417"/>
      <c r="AN46" s="417"/>
      <c r="AO46" s="417"/>
      <c r="AP46" s="418"/>
    </row>
    <row r="47" spans="1:42" ht="23.1" customHeight="1" x14ac:dyDescent="0.2">
      <c r="A47" s="19"/>
      <c r="B47" s="19">
        <v>1</v>
      </c>
      <c r="C47" s="20"/>
      <c r="D47" s="20" t="s">
        <v>144</v>
      </c>
      <c r="E47" s="20" t="s">
        <v>71</v>
      </c>
      <c r="F47" s="181"/>
      <c r="G47" s="103">
        <v>937</v>
      </c>
      <c r="H47" s="22" t="str">
        <f t="shared" si="8"/>
        <v/>
      </c>
      <c r="I47" s="103">
        <v>937</v>
      </c>
      <c r="J47" s="124" t="str">
        <f t="shared" si="10"/>
        <v/>
      </c>
      <c r="K47" s="22"/>
      <c r="L47" s="22" t="str">
        <f t="shared" si="9"/>
        <v/>
      </c>
      <c r="M47" s="103"/>
      <c r="N47" s="125">
        <f t="shared" ref="N47" si="20">IF(AND(AG47 &lt;&gt; "", SUM(V47:AF47) &lt;= AG47), SUM(V47:AF47), AG47)</f>
        <v>0</v>
      </c>
      <c r="O47" s="124" t="str">
        <f t="shared" si="17"/>
        <v/>
      </c>
      <c r="P47" s="124" t="str">
        <f>IF(AND(F47&lt;&gt;"",F47&gt;0),((J47/F47)-(O47/F47)),"")</f>
        <v/>
      </c>
      <c r="Q47" s="103">
        <v>937</v>
      </c>
      <c r="R47" s="22" t="str">
        <f t="shared" si="18"/>
        <v/>
      </c>
      <c r="S47" s="240">
        <v>1.5</v>
      </c>
      <c r="T47" s="126">
        <f t="shared" si="4"/>
        <v>65.34</v>
      </c>
      <c r="U47" s="126" t="str">
        <f>IF(AND(TRIM(T47)&lt;&gt;"",TRIM(F47)&lt;&gt;""),(F47*319.999849189052)/T47,"")</f>
        <v/>
      </c>
      <c r="V47" s="25"/>
      <c r="W47" s="25" t="str">
        <f t="shared" ref="W47:W48" si="21">IF(AND($AC$64&lt;0.08,$M$71="YES",$AH$64&gt;=5000,F47&lt;&gt;"",F47&gt;0),0.01,"")</f>
        <v/>
      </c>
      <c r="X47" s="25"/>
      <c r="Y47" s="25"/>
      <c r="Z47" s="25"/>
      <c r="AA47" s="25"/>
      <c r="AB47" s="25"/>
      <c r="AC47" s="25" t="str">
        <f t="shared" ref="AC47:AC48" si="22">IF(AND(B47 = 1, F47 &lt;&gt;""), $AC$64,"")</f>
        <v/>
      </c>
      <c r="AD47" s="88" t="str">
        <f>IF(F47 = "", "", IF(AND(F47 &gt;= 2, F47 &lt;= 999999,F28&gt;=2,F28&lt;=999999),0.0426894343649947,""))</f>
        <v/>
      </c>
      <c r="AE47" s="25"/>
      <c r="AF47" s="25"/>
      <c r="AG47" s="25">
        <v>1</v>
      </c>
      <c r="AH47" s="22">
        <f>IF(F47 = "",0,Q47*F47)</f>
        <v>0</v>
      </c>
      <c r="AI47" s="20"/>
      <c r="AK47" s="419"/>
      <c r="AL47" s="420"/>
      <c r="AM47" s="420"/>
      <c r="AN47" s="420"/>
      <c r="AO47" s="420"/>
      <c r="AP47" s="421"/>
    </row>
    <row r="48" spans="1:42" ht="23.1" customHeight="1" x14ac:dyDescent="0.2">
      <c r="A48" s="19"/>
      <c r="B48" s="19">
        <v>1</v>
      </c>
      <c r="C48" s="20"/>
      <c r="D48" s="20" t="s">
        <v>145</v>
      </c>
      <c r="E48" s="20" t="s">
        <v>71</v>
      </c>
      <c r="F48" s="181"/>
      <c r="G48" s="103">
        <v>937</v>
      </c>
      <c r="H48" s="22" t="str">
        <f t="shared" si="8"/>
        <v/>
      </c>
      <c r="I48" s="103">
        <v>833.75</v>
      </c>
      <c r="J48" s="124" t="str">
        <f t="shared" si="10"/>
        <v/>
      </c>
      <c r="K48" s="22"/>
      <c r="L48" s="22" t="str">
        <f t="shared" si="9"/>
        <v/>
      </c>
      <c r="M48" s="103"/>
      <c r="N48" s="125">
        <f t="shared" si="12"/>
        <v>0</v>
      </c>
      <c r="O48" s="124" t="str">
        <f t="shared" si="17"/>
        <v/>
      </c>
      <c r="P48" s="124" t="str">
        <f t="shared" si="2"/>
        <v/>
      </c>
      <c r="Q48" s="103">
        <v>833.75</v>
      </c>
      <c r="R48" s="22" t="str">
        <f t="shared" si="18"/>
        <v/>
      </c>
      <c r="S48" s="240">
        <v>1.5</v>
      </c>
      <c r="T48" s="126">
        <f t="shared" si="4"/>
        <v>65.34</v>
      </c>
      <c r="U48" s="126" t="str">
        <f>IF(AND(TRIM(T48)&lt;&gt;"",TRIM(F48)&lt;&gt;""),(F48*319.999849189052)/T48,"")</f>
        <v/>
      </c>
      <c r="V48" s="25"/>
      <c r="W48" s="25" t="str">
        <f t="shared" si="21"/>
        <v/>
      </c>
      <c r="X48" s="25"/>
      <c r="Y48" s="25"/>
      <c r="Z48" s="25"/>
      <c r="AA48" s="25"/>
      <c r="AB48" s="25"/>
      <c r="AC48" s="25" t="str">
        <f t="shared" si="22"/>
        <v/>
      </c>
      <c r="AD48" s="88" t="str">
        <f>IF(F48 = "", "", IF(OR(AND(F48 &gt;= 6, F48 &lt;= 999999,F28&gt;=2,F28&lt;=999999), AND(F48&gt;=6, F48&lt;= 999999,F29&gt;=16,F29&lt;=999999)),0.047976011994003,""))</f>
        <v/>
      </c>
      <c r="AE48" s="25"/>
      <c r="AF48" s="25"/>
      <c r="AG48" s="25">
        <v>1</v>
      </c>
      <c r="AH48" s="22">
        <f>IF(F48 = "",0,Q48*F48)</f>
        <v>0</v>
      </c>
      <c r="AI48" s="20"/>
      <c r="AK48" s="274"/>
      <c r="AL48" s="252"/>
      <c r="AM48" s="252"/>
      <c r="AN48" s="252"/>
      <c r="AO48" s="252"/>
      <c r="AP48" s="275"/>
    </row>
    <row r="49" spans="1:42" ht="27.95" customHeight="1" x14ac:dyDescent="0.2">
      <c r="A49" s="19">
        <v>1</v>
      </c>
      <c r="B49" s="19">
        <v>1</v>
      </c>
      <c r="C49" s="20" t="s">
        <v>146</v>
      </c>
      <c r="D49" s="20" t="s">
        <v>147</v>
      </c>
      <c r="E49" s="20" t="s">
        <v>26</v>
      </c>
      <c r="F49" s="181"/>
      <c r="G49" s="103">
        <v>457</v>
      </c>
      <c r="H49" s="22" t="str">
        <f t="shared" si="8"/>
        <v/>
      </c>
      <c r="I49" s="103">
        <v>457</v>
      </c>
      <c r="J49" s="124" t="str">
        <f t="shared" si="10"/>
        <v/>
      </c>
      <c r="K49" s="22"/>
      <c r="L49" s="22" t="str">
        <f t="shared" si="9"/>
        <v/>
      </c>
      <c r="M49" s="103"/>
      <c r="N49" s="125">
        <f t="shared" si="12"/>
        <v>0</v>
      </c>
      <c r="O49" s="124" t="str">
        <f>IF(F49 ="","",F49*N49*Q49)</f>
        <v/>
      </c>
      <c r="P49" s="124" t="str">
        <f t="shared" si="2"/>
        <v/>
      </c>
      <c r="Q49" s="103">
        <v>457</v>
      </c>
      <c r="R49" s="22" t="str">
        <f>IF(AND(F49&lt;&gt;"",F49&gt;0), F49*P49,"")</f>
        <v/>
      </c>
      <c r="S49" s="231">
        <v>0.73499999999999999</v>
      </c>
      <c r="T49" s="126">
        <f t="shared" si="4"/>
        <v>32.016600000000004</v>
      </c>
      <c r="U49" s="126" t="str">
        <f>IF(AND(TRIM(T49)&lt;&gt;"",TRIM(F49)&lt;&gt;""),(F49*127.999939675621)/T49,"")</f>
        <v/>
      </c>
      <c r="V49" s="25"/>
      <c r="W49" s="25" t="str">
        <f>IF(AND($AC$64&lt;0.08,$M$71="YES",$AH$64&gt;=5000,F49&lt;&gt;"",F49&gt;0),0.01,"")</f>
        <v/>
      </c>
      <c r="X49" s="25"/>
      <c r="Y49" s="25"/>
      <c r="Z49" s="25"/>
      <c r="AA49" s="25"/>
      <c r="AB49" s="25"/>
      <c r="AC49" s="25" t="str">
        <f>IF(AND(B49 = 1, F49 &lt;&gt;""), $AC$64,"")</f>
        <v/>
      </c>
      <c r="AD49" s="25" t="str">
        <f>IF(F49 = "", "", IF(AND(AND(F49 &gt;= 4, F49 &lt;= 999999), AND(SUM(F28:F28) &gt;= 4, SUM(F28:F28) &lt; 999999)), 0.0437636761487965,""))</f>
        <v/>
      </c>
      <c r="AE49" s="25"/>
      <c r="AF49" s="25"/>
      <c r="AG49" s="25">
        <v>1</v>
      </c>
      <c r="AH49" s="22">
        <f>IF(F49 = "",0,Q49*F49)</f>
        <v>0</v>
      </c>
      <c r="AI49" s="20"/>
      <c r="AK49" s="276" t="s">
        <v>15</v>
      </c>
      <c r="AL49" s="251" t="s">
        <v>16</v>
      </c>
      <c r="AM49" s="251" t="s">
        <v>17</v>
      </c>
      <c r="AN49" s="251" t="s">
        <v>18</v>
      </c>
      <c r="AO49" s="251" t="s">
        <v>19</v>
      </c>
      <c r="AP49" s="277" t="s">
        <v>20</v>
      </c>
    </row>
    <row r="50" spans="1:42" ht="17.45" customHeight="1" x14ac:dyDescent="0.2">
      <c r="A50" s="19">
        <v>1</v>
      </c>
      <c r="B50" s="19">
        <v>1</v>
      </c>
      <c r="C50" s="20" t="s">
        <v>148</v>
      </c>
      <c r="D50" s="20" t="s">
        <v>149</v>
      </c>
      <c r="E50" s="20" t="s">
        <v>88</v>
      </c>
      <c r="F50" s="181"/>
      <c r="G50" s="103">
        <v>389.7</v>
      </c>
      <c r="H50" s="22" t="str">
        <f t="shared" si="8"/>
        <v/>
      </c>
      <c r="I50" s="103">
        <v>389.7</v>
      </c>
      <c r="J50" s="124" t="str">
        <f t="shared" si="10"/>
        <v/>
      </c>
      <c r="K50" s="22"/>
      <c r="L50" s="22" t="str">
        <f t="shared" si="9"/>
        <v/>
      </c>
      <c r="M50" s="103"/>
      <c r="N50" s="125">
        <f t="shared" si="12"/>
        <v>0</v>
      </c>
      <c r="O50" s="124" t="str">
        <f>IF(F50 ="","",F50*N50*Q50)</f>
        <v/>
      </c>
      <c r="P50" s="124" t="str">
        <f t="shared" si="2"/>
        <v/>
      </c>
      <c r="Q50" s="103">
        <v>389.7</v>
      </c>
      <c r="R50" s="22" t="str">
        <f>IF(AND(F50&lt;&gt;"",F50&gt;0), F50*P50,"")</f>
        <v/>
      </c>
      <c r="S50" s="243">
        <f>T50/43.56</f>
        <v>2.2956841138659319E-2</v>
      </c>
      <c r="T50" s="242">
        <v>1</v>
      </c>
      <c r="U50" s="126" t="str">
        <f>IF(AND(TRIM(T50)&lt;&gt;"",TRIM(F50)&lt;&gt;""),(F50*6)/T50,"")</f>
        <v/>
      </c>
      <c r="V50" s="25"/>
      <c r="W50" s="25" t="str">
        <f>IF(AND($AC$64&lt;0.08,$M$71="YES",$AH$64&gt;=5000,F50&lt;&gt;"",F50&gt;0),0.01,"")</f>
        <v/>
      </c>
      <c r="X50" s="25"/>
      <c r="Y50" s="25"/>
      <c r="Z50" s="25"/>
      <c r="AA50" s="25"/>
      <c r="AB50" s="25"/>
      <c r="AC50" s="25" t="str">
        <f>IF(AND(B50 = 1, F50 &lt;&gt;""), $AC$64,"")</f>
        <v/>
      </c>
      <c r="AD50" s="25" t="str">
        <f>IF(F50 = "", "", IF(AND(AND(F50 &gt;= 6, F50 &lt;= 999999), AND(SUM(F43:F45) &gt;= 2, SUM(F43:F45) &lt; 999999)), 0.0641519117269695,""))</f>
        <v/>
      </c>
      <c r="AE50" s="25"/>
      <c r="AF50" s="25"/>
      <c r="AG50" s="25">
        <v>1</v>
      </c>
      <c r="AH50" s="22">
        <f>IF(F50 = "",0,Q50*F50)</f>
        <v>0</v>
      </c>
      <c r="AI50" s="20"/>
      <c r="AK50" s="257" t="s">
        <v>22</v>
      </c>
      <c r="AL50" s="35" t="s">
        <v>23</v>
      </c>
      <c r="AM50" s="29">
        <v>2</v>
      </c>
      <c r="AN50" s="19" t="s">
        <v>150</v>
      </c>
      <c r="AO50" s="30">
        <v>0.19500000000000001</v>
      </c>
      <c r="AP50" s="258">
        <f>(AM50*51)/(AO50*43.56)</f>
        <v>12.008193826375644</v>
      </c>
    </row>
    <row r="51" spans="1:42" ht="21.95" customHeight="1" thickBot="1" x14ac:dyDescent="0.25">
      <c r="A51" s="31" t="s">
        <v>151</v>
      </c>
      <c r="B51" s="31"/>
      <c r="C51" s="31"/>
      <c r="D51" s="31"/>
      <c r="E51" s="31"/>
      <c r="F51" s="183"/>
      <c r="G51" s="31"/>
      <c r="H51" s="31"/>
      <c r="I51" s="31"/>
      <c r="J51" s="31"/>
      <c r="K51" s="31"/>
      <c r="L51" s="31"/>
      <c r="M51" s="103"/>
      <c r="N51" s="31"/>
      <c r="O51" s="31"/>
      <c r="P51" s="31"/>
      <c r="Q51" s="31"/>
      <c r="R51" s="31"/>
      <c r="S51" s="31"/>
      <c r="T51" s="31"/>
      <c r="U51" s="32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6"/>
      <c r="AI51" s="17"/>
      <c r="AK51" s="264" t="s">
        <v>152</v>
      </c>
      <c r="AL51" s="265" t="s">
        <v>71</v>
      </c>
      <c r="AM51" s="319">
        <v>2</v>
      </c>
      <c r="AN51" s="260" t="s">
        <v>153</v>
      </c>
      <c r="AO51" s="266">
        <v>2</v>
      </c>
      <c r="AP51" s="267">
        <f>(AM51*(2.5*128))/(AO51*43.56)</f>
        <v>7.3461891643709825</v>
      </c>
    </row>
    <row r="52" spans="1:42" ht="42.6" customHeight="1" thickBot="1" x14ac:dyDescent="0.25">
      <c r="A52" s="235" t="s">
        <v>36</v>
      </c>
      <c r="B52" s="145" t="s">
        <v>37</v>
      </c>
      <c r="C52" s="146" t="s">
        <v>38</v>
      </c>
      <c r="D52" s="146" t="s">
        <v>39</v>
      </c>
      <c r="E52" s="146" t="s">
        <v>16</v>
      </c>
      <c r="F52" s="184" t="s">
        <v>17</v>
      </c>
      <c r="G52" s="147" t="s">
        <v>40</v>
      </c>
      <c r="H52" s="147" t="s">
        <v>41</v>
      </c>
      <c r="I52" s="147" t="s">
        <v>42</v>
      </c>
      <c r="J52" s="148" t="s">
        <v>43</v>
      </c>
      <c r="K52" s="147" t="s">
        <v>44</v>
      </c>
      <c r="L52" s="147" t="s">
        <v>45</v>
      </c>
      <c r="M52" s="103"/>
      <c r="N52" s="149" t="s">
        <v>46</v>
      </c>
      <c r="O52" s="147" t="s">
        <v>47</v>
      </c>
      <c r="P52" s="148" t="s">
        <v>154</v>
      </c>
      <c r="Q52" s="147" t="s">
        <v>49</v>
      </c>
      <c r="R52" s="147" t="s">
        <v>50</v>
      </c>
      <c r="S52" s="144" t="s">
        <v>19</v>
      </c>
      <c r="T52" s="143" t="s">
        <v>51</v>
      </c>
      <c r="U52" s="143" t="s">
        <v>52</v>
      </c>
      <c r="V52" s="144" t="s">
        <v>53</v>
      </c>
      <c r="W52" s="144" t="s">
        <v>4</v>
      </c>
      <c r="X52" s="144" t="s">
        <v>54</v>
      </c>
      <c r="Y52" s="144" t="s">
        <v>55</v>
      </c>
      <c r="Z52" s="144" t="s">
        <v>56</v>
      </c>
      <c r="AA52" s="144" t="s">
        <v>57</v>
      </c>
      <c r="AB52" s="144" t="s">
        <v>58</v>
      </c>
      <c r="AC52" s="144" t="s">
        <v>155</v>
      </c>
      <c r="AD52" s="144" t="s">
        <v>60</v>
      </c>
      <c r="AE52" s="144" t="s">
        <v>61</v>
      </c>
      <c r="AF52" s="144" t="s">
        <v>62</v>
      </c>
      <c r="AG52" s="144" t="s">
        <v>63</v>
      </c>
      <c r="AH52" s="147" t="s">
        <v>64</v>
      </c>
      <c r="AI52" s="145" t="s">
        <v>65</v>
      </c>
      <c r="AM52" s="6"/>
      <c r="AO52" s="6"/>
      <c r="AP52" s="6"/>
    </row>
    <row r="53" spans="1:42" ht="17.45" customHeight="1" x14ac:dyDescent="0.2">
      <c r="A53" s="19"/>
      <c r="B53" s="19">
        <v>1</v>
      </c>
      <c r="C53" s="20" t="s">
        <v>156</v>
      </c>
      <c r="D53" s="20" t="s">
        <v>157</v>
      </c>
      <c r="E53" s="20" t="s">
        <v>71</v>
      </c>
      <c r="F53" s="181"/>
      <c r="G53" s="33" t="str">
        <f t="shared" ref="G53:G63" si="23">IF(F53*M53= 0,"",F53*M53)</f>
        <v/>
      </c>
      <c r="H53" s="22" t="str">
        <f t="shared" ref="H53:H63" si="24">IF(F53*I53= 0,"",F53*I53)</f>
        <v/>
      </c>
      <c r="I53" s="34"/>
      <c r="J53" s="124" t="str">
        <f t="shared" ref="J53:J63" si="25">IF(F53*I53= 0,"",F53*I53)</f>
        <v/>
      </c>
      <c r="K53" s="22" t="str">
        <f>IF(F53 ="","",F53*Q53*V53)</f>
        <v/>
      </c>
      <c r="L53" s="22" t="str">
        <f t="shared" ref="L53:L63" si="26">IF(AD53="","",AD53*F53*Q53)</f>
        <v/>
      </c>
      <c r="M53" s="103"/>
      <c r="N53" s="125">
        <f ca="1">IF(AND(AG53 &lt;&gt; "", SUM(V53:AF53) &lt;= AG53), SUM(V53:AF53), AG53)</f>
        <v>0</v>
      </c>
      <c r="O53" s="124" t="str">
        <f ca="1">IF(OR(F53 ="",N53=""),"",F53*N53*Q53)</f>
        <v/>
      </c>
      <c r="P53" s="124" t="str">
        <f>IF(AND(AND(F53&lt;&gt;"",F53&gt;0), AND(I53&lt;&gt;"",I53&gt;0)),((J53/F53)-(O53/F53)),"")</f>
        <v/>
      </c>
      <c r="Q53" s="22">
        <f>423.5*1.1</f>
        <v>465.85</v>
      </c>
      <c r="R53" s="22" t="str">
        <f>IF(AND(AND(F53&lt;&gt;"",F53&gt;0),AND(J53&lt;&gt;"",J53&gt;0)), F53*P53,"")</f>
        <v/>
      </c>
      <c r="S53" s="23">
        <v>4</v>
      </c>
      <c r="T53" s="126">
        <f t="shared" ref="T53:T61" si="27">S53*43.56</f>
        <v>174.24</v>
      </c>
      <c r="U53" s="24" t="str">
        <f>IF(AND(TRIM(T53)&lt;&gt;"",TRIM(F53)&lt;&gt;""),(F53*319.999849189052)/T53,"")</f>
        <v/>
      </c>
      <c r="V53" s="25" t="str">
        <f ca="1">IF(AND(F53 &lt;&gt;"",F53&gt;0), IFERROR(VLOOKUP(F53,INDIRECT(AI53),3,TRUE),0), "")</f>
        <v/>
      </c>
      <c r="W53" s="25" t="str">
        <f t="shared" ref="W53:W62" si="28">IF(AND($AC$64&lt;0.08,$M$71="YES",$AH$64&gt;=5000,F53&lt;&gt;"",F53&gt;0),0.01,"")</f>
        <v/>
      </c>
      <c r="X53" s="25"/>
      <c r="Y53" s="25"/>
      <c r="Z53" s="25"/>
      <c r="AA53" s="25"/>
      <c r="AB53" s="25"/>
      <c r="AC53" s="25" t="str">
        <f t="shared" ref="AC53:AC62" si="29">IF(AND(B53 = 1, F53 &lt;&gt;""), $AC$64,"")</f>
        <v/>
      </c>
      <c r="AD53" s="25"/>
      <c r="AE53" s="25"/>
      <c r="AF53" s="25"/>
      <c r="AG53" s="25">
        <v>1</v>
      </c>
      <c r="AH53" s="22">
        <f t="shared" ref="AH53:AH63" si="30">IF(F53 = "",0,Q53*F53)</f>
        <v>0</v>
      </c>
      <c r="AI53" s="20" t="s">
        <v>158</v>
      </c>
      <c r="AK53" s="341" t="s">
        <v>159</v>
      </c>
      <c r="AL53" s="342"/>
      <c r="AM53" s="342"/>
      <c r="AN53" s="342"/>
      <c r="AO53" s="342"/>
      <c r="AP53" s="343"/>
    </row>
    <row r="54" spans="1:42" ht="17.45" customHeight="1" x14ac:dyDescent="0.2">
      <c r="A54" s="19"/>
      <c r="B54" s="19">
        <v>1</v>
      </c>
      <c r="C54" s="20" t="s">
        <v>160</v>
      </c>
      <c r="D54" s="20" t="s">
        <v>161</v>
      </c>
      <c r="E54" s="20" t="s">
        <v>84</v>
      </c>
      <c r="F54" s="181"/>
      <c r="G54" s="33" t="str">
        <f t="shared" si="23"/>
        <v/>
      </c>
      <c r="H54" s="22" t="str">
        <f t="shared" si="24"/>
        <v/>
      </c>
      <c r="I54" s="34"/>
      <c r="J54" s="124" t="str">
        <f t="shared" si="25"/>
        <v/>
      </c>
      <c r="K54" s="22" t="str">
        <f>IF(F54 ="","",F54*Q54*V54)</f>
        <v/>
      </c>
      <c r="L54" s="22" t="str">
        <f t="shared" si="26"/>
        <v/>
      </c>
      <c r="M54" s="103"/>
      <c r="N54" s="125">
        <f ca="1">IF(AND(AG54 &lt;&gt; "", SUM(V54:AF54) &lt;= AG54), SUM(V54:AF54), AG54)</f>
        <v>0</v>
      </c>
      <c r="O54" s="124" t="str">
        <f t="shared" ref="O54:O62" ca="1" si="31">IF(OR(F54 ="",N54=""),"",F54*N54*Q54)</f>
        <v/>
      </c>
      <c r="P54" s="124" t="str">
        <f t="shared" ref="P54:P63" si="32">IF(AND(AND(F54&lt;&gt;"",F54&gt;0), AND(I54&lt;&gt;"",I54&gt;0)),((J54/F54)-(O54/F54)),"")</f>
        <v/>
      </c>
      <c r="Q54" s="22">
        <f>575.6*1.1</f>
        <v>633.16000000000008</v>
      </c>
      <c r="R54" s="22" t="str">
        <f t="shared" ref="R54:R63" si="33">IF(AND(AND(F54&lt;&gt;"",F54&gt;0),AND(J54&lt;&gt;"",J54&gt;0)), F54*P54,"")</f>
        <v/>
      </c>
      <c r="S54" s="244">
        <f>T54/43.56</f>
        <v>0.5</v>
      </c>
      <c r="T54" s="242">
        <v>21.78</v>
      </c>
      <c r="U54" s="24" t="str">
        <f>IF(AND(TRIM(T54)&lt;&gt;"",TRIM(F54)&lt;&gt;""),(F54*127.999939675621)/T54,"")</f>
        <v/>
      </c>
      <c r="V54" s="25" t="str">
        <f ca="1">IF(AND(F54 &lt;&gt;"",F54&gt;0), IFERROR(VLOOKUP(F54,INDIRECT(AI54),3,TRUE),0), "")</f>
        <v/>
      </c>
      <c r="W54" s="25" t="str">
        <f t="shared" si="28"/>
        <v/>
      </c>
      <c r="X54" s="25"/>
      <c r="Y54" s="25"/>
      <c r="Z54" s="25"/>
      <c r="AA54" s="25"/>
      <c r="AB54" s="25"/>
      <c r="AC54" s="25" t="str">
        <f t="shared" si="29"/>
        <v/>
      </c>
      <c r="AD54" s="25"/>
      <c r="AE54" s="25"/>
      <c r="AF54" s="25"/>
      <c r="AG54" s="25">
        <v>1</v>
      </c>
      <c r="AH54" s="22">
        <f t="shared" si="30"/>
        <v>0</v>
      </c>
      <c r="AI54" s="20" t="s">
        <v>162</v>
      </c>
      <c r="AK54" s="344"/>
      <c r="AL54" s="345"/>
      <c r="AM54" s="345"/>
      <c r="AN54" s="345"/>
      <c r="AO54" s="345"/>
      <c r="AP54" s="346"/>
    </row>
    <row r="55" spans="1:42" ht="17.45" customHeight="1" x14ac:dyDescent="0.2">
      <c r="A55" s="19"/>
      <c r="B55" s="19">
        <v>1</v>
      </c>
      <c r="C55" s="20" t="s">
        <v>163</v>
      </c>
      <c r="D55" s="20" t="s">
        <v>164</v>
      </c>
      <c r="E55" s="20" t="s">
        <v>165</v>
      </c>
      <c r="F55" s="181"/>
      <c r="G55" s="33" t="str">
        <f t="shared" si="23"/>
        <v/>
      </c>
      <c r="H55" s="22" t="str">
        <f t="shared" si="24"/>
        <v/>
      </c>
      <c r="I55" s="34"/>
      <c r="J55" s="124" t="str">
        <f t="shared" si="25"/>
        <v/>
      </c>
      <c r="K55" s="22" t="str">
        <f>IF(F55 ="","",F55*Q55*V55)</f>
        <v/>
      </c>
      <c r="L55" s="22" t="str">
        <f t="shared" si="26"/>
        <v/>
      </c>
      <c r="M55" s="103"/>
      <c r="N55" s="125">
        <f ca="1">IF(AND(AG55 &lt;&gt; "", SUM(V55:AF55) &lt;= AG55), SUM(V55:AF55), AG55)</f>
        <v>0</v>
      </c>
      <c r="O55" s="124" t="str">
        <f ca="1">IF(OR(F55 ="",N55=""),"",F55*N55*Q55)</f>
        <v/>
      </c>
      <c r="P55" s="124" t="str">
        <f t="shared" si="32"/>
        <v/>
      </c>
      <c r="Q55" s="22">
        <f>104*1.1</f>
        <v>114.4</v>
      </c>
      <c r="R55" s="22" t="str">
        <f t="shared" si="33"/>
        <v/>
      </c>
      <c r="S55" s="23">
        <v>1.2</v>
      </c>
      <c r="T55" s="126">
        <f t="shared" si="27"/>
        <v>52.271999999999998</v>
      </c>
      <c r="U55" s="24" t="str">
        <f>IF(AND(TRIM(T55)&lt;&gt;"",TRIM(F55)&lt;&gt;""),(F55*31.9999999550214)/T55,"")</f>
        <v/>
      </c>
      <c r="V55" s="25" t="str">
        <f ca="1">IF(AND(F55 &lt;&gt;"",F55&gt;0), IFERROR(VLOOKUP(F55,INDIRECT(AI55),3,TRUE),0), "")</f>
        <v/>
      </c>
      <c r="W55" s="25" t="str">
        <f t="shared" si="28"/>
        <v/>
      </c>
      <c r="X55" s="25"/>
      <c r="Y55" s="25"/>
      <c r="Z55" s="25"/>
      <c r="AA55" s="25"/>
      <c r="AB55" s="25"/>
      <c r="AC55" s="25" t="str">
        <f t="shared" si="29"/>
        <v/>
      </c>
      <c r="AD55" s="25"/>
      <c r="AE55" s="25"/>
      <c r="AF55" s="25"/>
      <c r="AG55" s="25">
        <v>1</v>
      </c>
      <c r="AH55" s="22">
        <f t="shared" si="30"/>
        <v>0</v>
      </c>
      <c r="AI55" s="20" t="s">
        <v>166</v>
      </c>
      <c r="AK55" s="347"/>
      <c r="AL55" s="348"/>
      <c r="AM55" s="348"/>
      <c r="AN55" s="348"/>
      <c r="AO55" s="348"/>
      <c r="AP55" s="349"/>
    </row>
    <row r="56" spans="1:42" ht="17.45" customHeight="1" x14ac:dyDescent="0.2">
      <c r="A56" s="19"/>
      <c r="B56" s="19">
        <v>1</v>
      </c>
      <c r="C56" s="20" t="s">
        <v>167</v>
      </c>
      <c r="D56" s="20" t="s">
        <v>168</v>
      </c>
      <c r="E56" s="20" t="s">
        <v>142</v>
      </c>
      <c r="F56" s="181"/>
      <c r="G56" s="33" t="str">
        <f t="shared" si="23"/>
        <v/>
      </c>
      <c r="H56" s="22" t="str">
        <f t="shared" si="24"/>
        <v/>
      </c>
      <c r="I56" s="34"/>
      <c r="J56" s="124" t="str">
        <f t="shared" si="25"/>
        <v/>
      </c>
      <c r="K56" s="33"/>
      <c r="L56" s="22" t="str">
        <f t="shared" si="26"/>
        <v/>
      </c>
      <c r="M56" s="103"/>
      <c r="N56" s="125">
        <f t="shared" ref="N56" si="34">IF(AND(AG56 &lt;&gt; "", SUM(V56:AF56) &lt;= AG56), SUM(V56:AF56), AG56)</f>
        <v>0</v>
      </c>
      <c r="O56" s="124" t="str">
        <f t="shared" si="31"/>
        <v/>
      </c>
      <c r="P56" s="124" t="str">
        <f t="shared" si="32"/>
        <v/>
      </c>
      <c r="Q56" s="325">
        <f>(3.93*50)*1.1</f>
        <v>216.15</v>
      </c>
      <c r="R56" s="22" t="str">
        <f t="shared" si="33"/>
        <v/>
      </c>
      <c r="S56" s="23"/>
      <c r="T56" s="126">
        <f t="shared" si="27"/>
        <v>0</v>
      </c>
      <c r="U56" s="24"/>
      <c r="V56" s="25"/>
      <c r="W56" s="25" t="str">
        <f t="shared" si="28"/>
        <v/>
      </c>
      <c r="X56" s="25"/>
      <c r="Y56" s="25"/>
      <c r="Z56" s="25"/>
      <c r="AA56" s="25"/>
      <c r="AB56" s="25"/>
      <c r="AC56" s="25" t="str">
        <f t="shared" si="29"/>
        <v/>
      </c>
      <c r="AD56" s="25"/>
      <c r="AE56" s="25"/>
      <c r="AF56" s="25"/>
      <c r="AG56" s="25">
        <v>1</v>
      </c>
      <c r="AH56" s="22">
        <f t="shared" si="30"/>
        <v>0</v>
      </c>
      <c r="AI56" s="20"/>
      <c r="AK56" s="253"/>
      <c r="AL56" s="248"/>
      <c r="AM56" s="249"/>
      <c r="AN56" s="248"/>
      <c r="AO56" s="250"/>
      <c r="AP56" s="254"/>
    </row>
    <row r="57" spans="1:42" ht="21.6" customHeight="1" x14ac:dyDescent="0.2">
      <c r="A57" s="19"/>
      <c r="B57" s="19">
        <v>1</v>
      </c>
      <c r="C57" s="20" t="s">
        <v>169</v>
      </c>
      <c r="D57" s="20" t="s">
        <v>170</v>
      </c>
      <c r="E57" s="20" t="s">
        <v>171</v>
      </c>
      <c r="F57" s="181"/>
      <c r="G57" s="33" t="str">
        <f t="shared" si="23"/>
        <v/>
      </c>
      <c r="H57" s="22" t="str">
        <f t="shared" si="24"/>
        <v/>
      </c>
      <c r="I57" s="34"/>
      <c r="J57" s="124" t="str">
        <f t="shared" si="25"/>
        <v/>
      </c>
      <c r="K57" s="22" t="str">
        <f>IF(F57 ="","",F57*Q57*V57)</f>
        <v/>
      </c>
      <c r="L57" s="22" t="str">
        <f t="shared" si="26"/>
        <v/>
      </c>
      <c r="M57" s="103"/>
      <c r="N57" s="125">
        <f t="shared" ref="N57:N62" ca="1" si="35">IF(AND(AG57 &lt;&gt; "", SUM(V57:AF57) &lt;= AG57), SUM(V57:AF57), AG57)</f>
        <v>0</v>
      </c>
      <c r="O57" s="124" t="str">
        <f t="shared" ca="1" si="31"/>
        <v/>
      </c>
      <c r="P57" s="124" t="str">
        <f t="shared" si="32"/>
        <v/>
      </c>
      <c r="Q57" s="22">
        <f>440.75*1.1</f>
        <v>484.82500000000005</v>
      </c>
      <c r="R57" s="22" t="str">
        <f t="shared" si="33"/>
        <v/>
      </c>
      <c r="S57" s="23">
        <v>0.25</v>
      </c>
      <c r="T57" s="126">
        <f t="shared" si="27"/>
        <v>10.89</v>
      </c>
      <c r="U57" s="24" t="str">
        <f>IF(AND(TRIM(T57)&lt;&gt;"",TRIM(F57)&lt;&gt;""),(F57*15.9999999775107)/T57,"")</f>
        <v/>
      </c>
      <c r="V57" s="25" t="str">
        <f ca="1">IF(AND(F57 &lt;&gt;"",F57&gt;0), IFERROR(VLOOKUP(F57,INDIRECT(AI57),3,TRUE),0), "")</f>
        <v/>
      </c>
      <c r="W57" s="25" t="str">
        <f t="shared" si="28"/>
        <v/>
      </c>
      <c r="X57" s="25"/>
      <c r="Y57" s="25"/>
      <c r="Z57" s="25"/>
      <c r="AA57" s="25"/>
      <c r="AB57" s="25"/>
      <c r="AC57" s="25" t="str">
        <f t="shared" si="29"/>
        <v/>
      </c>
      <c r="AD57" s="25"/>
      <c r="AE57" s="25"/>
      <c r="AF57" s="25"/>
      <c r="AG57" s="25">
        <v>1</v>
      </c>
      <c r="AH57" s="22">
        <f t="shared" si="30"/>
        <v>0</v>
      </c>
      <c r="AI57" s="20" t="s">
        <v>172</v>
      </c>
      <c r="AK57" s="255" t="s">
        <v>15</v>
      </c>
      <c r="AL57" s="26" t="s">
        <v>16</v>
      </c>
      <c r="AM57" s="27" t="s">
        <v>17</v>
      </c>
      <c r="AN57" s="26" t="s">
        <v>18</v>
      </c>
      <c r="AO57" s="28" t="s">
        <v>19</v>
      </c>
      <c r="AP57" s="256" t="s">
        <v>20</v>
      </c>
    </row>
    <row r="58" spans="1:42" ht="17.45" customHeight="1" x14ac:dyDescent="0.2">
      <c r="A58" s="19"/>
      <c r="B58" s="19">
        <v>1</v>
      </c>
      <c r="C58" s="20" t="s">
        <v>173</v>
      </c>
      <c r="D58" s="20" t="s">
        <v>174</v>
      </c>
      <c r="E58" s="20" t="s">
        <v>71</v>
      </c>
      <c r="F58" s="181"/>
      <c r="G58" s="33" t="str">
        <f t="shared" si="23"/>
        <v/>
      </c>
      <c r="H58" s="22" t="str">
        <f t="shared" si="24"/>
        <v/>
      </c>
      <c r="I58" s="34"/>
      <c r="J58" s="124" t="str">
        <f t="shared" si="25"/>
        <v/>
      </c>
      <c r="K58" s="33"/>
      <c r="L58" s="22" t="str">
        <f t="shared" si="26"/>
        <v/>
      </c>
      <c r="M58" s="103"/>
      <c r="N58" s="125">
        <f t="shared" si="35"/>
        <v>0</v>
      </c>
      <c r="O58" s="124" t="str">
        <f t="shared" si="31"/>
        <v/>
      </c>
      <c r="P58" s="124" t="str">
        <f t="shared" si="32"/>
        <v/>
      </c>
      <c r="Q58" s="22">
        <f>197.25*1.1</f>
        <v>216.97500000000002</v>
      </c>
      <c r="R58" s="22" t="str">
        <f t="shared" si="33"/>
        <v/>
      </c>
      <c r="S58" s="23">
        <v>5.75</v>
      </c>
      <c r="T58" s="126">
        <f t="shared" si="27"/>
        <v>250.47000000000003</v>
      </c>
      <c r="U58" s="24" t="str">
        <f>IF(AND(TRIM(T58)&lt;&gt;"",TRIM(F58)&lt;&gt;""),(F58*319.999849189052)/T58,"")</f>
        <v/>
      </c>
      <c r="V58" s="25"/>
      <c r="W58" s="25" t="str">
        <f t="shared" si="28"/>
        <v/>
      </c>
      <c r="X58" s="25"/>
      <c r="Y58" s="25"/>
      <c r="Z58" s="25"/>
      <c r="AA58" s="25"/>
      <c r="AB58" s="25"/>
      <c r="AC58" s="25" t="str">
        <f t="shared" si="29"/>
        <v/>
      </c>
      <c r="AD58" s="25"/>
      <c r="AE58" s="25"/>
      <c r="AF58" s="25"/>
      <c r="AG58" s="25">
        <v>1</v>
      </c>
      <c r="AH58" s="22">
        <f t="shared" si="30"/>
        <v>0</v>
      </c>
      <c r="AI58" s="20"/>
      <c r="AK58" s="257" t="s">
        <v>104</v>
      </c>
      <c r="AL58" s="35" t="s">
        <v>71</v>
      </c>
      <c r="AM58" s="29">
        <v>4</v>
      </c>
      <c r="AN58" s="19" t="s">
        <v>105</v>
      </c>
      <c r="AO58" s="30">
        <v>2</v>
      </c>
      <c r="AP58" s="258">
        <f>(AM58*319.999849189052)/(AO58*43.56)</f>
        <v>14.692371404456013</v>
      </c>
    </row>
    <row r="59" spans="1:42" ht="17.45" customHeight="1" x14ac:dyDescent="0.2">
      <c r="A59" s="19"/>
      <c r="B59" s="19">
        <v>1</v>
      </c>
      <c r="C59" s="20" t="s">
        <v>175</v>
      </c>
      <c r="D59" s="20" t="s">
        <v>176</v>
      </c>
      <c r="E59" s="20" t="s">
        <v>177</v>
      </c>
      <c r="F59" s="181"/>
      <c r="G59" s="33" t="str">
        <f t="shared" si="23"/>
        <v/>
      </c>
      <c r="H59" s="22" t="str">
        <f t="shared" si="24"/>
        <v/>
      </c>
      <c r="I59" s="34"/>
      <c r="J59" s="124" t="str">
        <f t="shared" si="25"/>
        <v/>
      </c>
      <c r="K59" s="33"/>
      <c r="L59" s="22" t="str">
        <f t="shared" si="26"/>
        <v/>
      </c>
      <c r="M59" s="103"/>
      <c r="N59" s="125">
        <f t="shared" si="35"/>
        <v>0</v>
      </c>
      <c r="O59" s="124" t="str">
        <f t="shared" si="31"/>
        <v/>
      </c>
      <c r="P59" s="124" t="str">
        <f t="shared" si="32"/>
        <v/>
      </c>
      <c r="Q59" s="22">
        <f>218.25*1.1</f>
        <v>240.07500000000002</v>
      </c>
      <c r="R59" s="22" t="str">
        <f t="shared" si="33"/>
        <v/>
      </c>
      <c r="S59" s="23">
        <v>3</v>
      </c>
      <c r="T59" s="126">
        <f t="shared" si="27"/>
        <v>130.68</v>
      </c>
      <c r="U59" s="24" t="str">
        <f>IF(AND(TRIM(T59)&lt;&gt;"",TRIM(F59)&lt;&gt;""),(F59*8)/T59,"")</f>
        <v/>
      </c>
      <c r="V59" s="25"/>
      <c r="W59" s="25" t="str">
        <f t="shared" si="28"/>
        <v/>
      </c>
      <c r="X59" s="25"/>
      <c r="Y59" s="25"/>
      <c r="Z59" s="25"/>
      <c r="AA59" s="25"/>
      <c r="AB59" s="25"/>
      <c r="AC59" s="25" t="str">
        <f t="shared" si="29"/>
        <v/>
      </c>
      <c r="AD59" s="25"/>
      <c r="AE59" s="25"/>
      <c r="AF59" s="25"/>
      <c r="AG59" s="25">
        <v>1</v>
      </c>
      <c r="AH59" s="22">
        <f t="shared" si="30"/>
        <v>0</v>
      </c>
      <c r="AI59" s="20"/>
      <c r="AK59" s="284" t="s">
        <v>178</v>
      </c>
      <c r="AL59" s="35" t="s">
        <v>129</v>
      </c>
      <c r="AM59" s="29">
        <v>24</v>
      </c>
      <c r="AN59" s="19" t="s">
        <v>112</v>
      </c>
      <c r="AO59" s="30">
        <v>4</v>
      </c>
      <c r="AP59" s="258">
        <f>(AM59*87.9999998763089)/(AO59*43.56)</f>
        <v>12.121212104174781</v>
      </c>
    </row>
    <row r="60" spans="1:42" ht="20.45" customHeight="1" x14ac:dyDescent="0.2">
      <c r="A60" s="19"/>
      <c r="B60" s="19">
        <v>1</v>
      </c>
      <c r="C60" s="20" t="s">
        <v>179</v>
      </c>
      <c r="D60" s="20" t="s">
        <v>180</v>
      </c>
      <c r="E60" s="20" t="s">
        <v>71</v>
      </c>
      <c r="F60" s="181"/>
      <c r="G60" s="33" t="str">
        <f t="shared" si="23"/>
        <v/>
      </c>
      <c r="H60" s="22" t="str">
        <f t="shared" si="24"/>
        <v/>
      </c>
      <c r="I60" s="34"/>
      <c r="J60" s="124" t="str">
        <f t="shared" si="25"/>
        <v/>
      </c>
      <c r="K60" s="33"/>
      <c r="L60" s="22" t="str">
        <f t="shared" si="26"/>
        <v/>
      </c>
      <c r="M60" s="103"/>
      <c r="N60" s="125">
        <f t="shared" si="35"/>
        <v>0</v>
      </c>
      <c r="O60" s="124" t="str">
        <f t="shared" si="31"/>
        <v/>
      </c>
      <c r="P60" s="124" t="str">
        <f t="shared" si="32"/>
        <v/>
      </c>
      <c r="Q60" s="22">
        <f>377*1.1</f>
        <v>414.70000000000005</v>
      </c>
      <c r="R60" s="22" t="str">
        <f t="shared" si="33"/>
        <v/>
      </c>
      <c r="S60" s="23">
        <v>1.5</v>
      </c>
      <c r="T60" s="126">
        <f t="shared" si="27"/>
        <v>65.34</v>
      </c>
      <c r="U60" s="24" t="str">
        <f>IF(AND(TRIM(T60)&lt;&gt;"",TRIM(F60)&lt;&gt;""),(F60*319.999849189052)/T60,"")</f>
        <v/>
      </c>
      <c r="V60" s="25"/>
      <c r="W60" s="25" t="str">
        <f t="shared" si="28"/>
        <v/>
      </c>
      <c r="X60" s="25"/>
      <c r="Y60" s="25"/>
      <c r="Z60" s="25"/>
      <c r="AA60" s="25"/>
      <c r="AB60" s="25"/>
      <c r="AC60" s="25" t="str">
        <f t="shared" si="29"/>
        <v/>
      </c>
      <c r="AD60" s="25"/>
      <c r="AE60" s="25"/>
      <c r="AF60" s="25"/>
      <c r="AG60" s="25">
        <v>1</v>
      </c>
      <c r="AH60" s="22">
        <f t="shared" si="30"/>
        <v>0</v>
      </c>
      <c r="AI60" s="20"/>
      <c r="AK60" s="255" t="s">
        <v>32</v>
      </c>
      <c r="AL60" s="26" t="s">
        <v>16</v>
      </c>
      <c r="AM60" s="27" t="s">
        <v>17</v>
      </c>
      <c r="AN60" s="26" t="s">
        <v>18</v>
      </c>
      <c r="AO60" s="28" t="s">
        <v>19</v>
      </c>
      <c r="AP60" s="256" t="s">
        <v>20</v>
      </c>
    </row>
    <row r="61" spans="1:42" ht="17.45" customHeight="1" thickBot="1" x14ac:dyDescent="0.25">
      <c r="A61" s="19"/>
      <c r="B61" s="19">
        <v>1</v>
      </c>
      <c r="C61" s="20" t="s">
        <v>181</v>
      </c>
      <c r="D61" s="20" t="s">
        <v>182</v>
      </c>
      <c r="E61" s="20" t="s">
        <v>71</v>
      </c>
      <c r="F61" s="181"/>
      <c r="G61" s="33" t="str">
        <f t="shared" si="23"/>
        <v/>
      </c>
      <c r="H61" s="22" t="str">
        <f t="shared" si="24"/>
        <v/>
      </c>
      <c r="I61" s="34"/>
      <c r="J61" s="124" t="str">
        <f t="shared" si="25"/>
        <v/>
      </c>
      <c r="K61" s="33"/>
      <c r="L61" s="22" t="str">
        <f t="shared" si="26"/>
        <v/>
      </c>
      <c r="M61" s="103"/>
      <c r="N61" s="125">
        <f t="shared" si="35"/>
        <v>0</v>
      </c>
      <c r="O61" s="124" t="str">
        <f t="shared" si="31"/>
        <v/>
      </c>
      <c r="P61" s="124" t="str">
        <f t="shared" si="32"/>
        <v/>
      </c>
      <c r="Q61" s="22">
        <f>92*1.1</f>
        <v>101.2</v>
      </c>
      <c r="R61" s="22" t="str">
        <f t="shared" si="33"/>
        <v/>
      </c>
      <c r="S61" s="23">
        <v>5</v>
      </c>
      <c r="T61" s="126">
        <f t="shared" si="27"/>
        <v>217.8</v>
      </c>
      <c r="U61" s="24" t="str">
        <f>IF(AND(TRIM(T61)&lt;&gt;"",TRIM(F61)&lt;&gt;""),(F61*319.999849189052)/T61,"")</f>
        <v/>
      </c>
      <c r="V61" s="25"/>
      <c r="W61" s="25" t="str">
        <f t="shared" si="28"/>
        <v/>
      </c>
      <c r="X61" s="25"/>
      <c r="Y61" s="25"/>
      <c r="Z61" s="25"/>
      <c r="AA61" s="25"/>
      <c r="AB61" s="25"/>
      <c r="AC61" s="25" t="str">
        <f t="shared" si="29"/>
        <v/>
      </c>
      <c r="AD61" s="25"/>
      <c r="AE61" s="25"/>
      <c r="AF61" s="25"/>
      <c r="AG61" s="25">
        <v>1</v>
      </c>
      <c r="AH61" s="22">
        <f t="shared" si="30"/>
        <v>0</v>
      </c>
      <c r="AI61" s="20"/>
      <c r="AK61" s="259" t="s">
        <v>35</v>
      </c>
      <c r="AL61" s="260"/>
      <c r="AM61" s="261"/>
      <c r="AN61" s="260"/>
      <c r="AO61" s="262"/>
      <c r="AP61" s="263"/>
    </row>
    <row r="62" spans="1:42" ht="17.45" customHeight="1" thickBot="1" x14ac:dyDescent="0.25">
      <c r="A62" s="19"/>
      <c r="B62" s="19">
        <v>1</v>
      </c>
      <c r="C62" s="20" t="s">
        <v>183</v>
      </c>
      <c r="D62" s="20" t="s">
        <v>122</v>
      </c>
      <c r="E62" s="20" t="s">
        <v>184</v>
      </c>
      <c r="F62" s="181"/>
      <c r="G62" s="33" t="str">
        <f t="shared" si="23"/>
        <v/>
      </c>
      <c r="H62" s="22" t="str">
        <f t="shared" si="24"/>
        <v/>
      </c>
      <c r="I62" s="34"/>
      <c r="J62" s="124" t="str">
        <f t="shared" si="25"/>
        <v/>
      </c>
      <c r="K62" s="33"/>
      <c r="L62" s="22" t="str">
        <f t="shared" si="26"/>
        <v/>
      </c>
      <c r="M62" s="103"/>
      <c r="N62" s="125">
        <f t="shared" si="35"/>
        <v>0</v>
      </c>
      <c r="O62" s="124" t="str">
        <f t="shared" si="31"/>
        <v/>
      </c>
      <c r="P62" s="124" t="str">
        <f t="shared" si="32"/>
        <v/>
      </c>
      <c r="Q62" s="22">
        <f>251.75*1.1</f>
        <v>276.92500000000001</v>
      </c>
      <c r="R62" s="22" t="str">
        <f t="shared" si="33"/>
        <v/>
      </c>
      <c r="S62" s="244">
        <f>T62/43.56</f>
        <v>0.39990817263544537</v>
      </c>
      <c r="T62" s="242">
        <v>17.420000000000002</v>
      </c>
      <c r="U62" s="24" t="str">
        <f>IF(AND(TRIM(T62)&lt;&gt;"",TRIM(F62)&lt;&gt;""),(F62*32)/T62,"")</f>
        <v/>
      </c>
      <c r="V62" s="25"/>
      <c r="W62" s="25" t="str">
        <f t="shared" si="28"/>
        <v/>
      </c>
      <c r="X62" s="25"/>
      <c r="Y62" s="25"/>
      <c r="Z62" s="25"/>
      <c r="AA62" s="25"/>
      <c r="AB62" s="25"/>
      <c r="AC62" s="25" t="str">
        <f t="shared" si="29"/>
        <v/>
      </c>
      <c r="AD62" s="25"/>
      <c r="AE62" s="25"/>
      <c r="AF62" s="25"/>
      <c r="AG62" s="25">
        <v>1</v>
      </c>
      <c r="AH62" s="22">
        <f t="shared" si="30"/>
        <v>0</v>
      </c>
      <c r="AI62" s="20"/>
    </row>
    <row r="63" spans="1:42" ht="17.45" customHeight="1" x14ac:dyDescent="0.2">
      <c r="A63" s="19"/>
      <c r="B63" s="19">
        <v>1</v>
      </c>
      <c r="C63" s="20" t="s">
        <v>185</v>
      </c>
      <c r="D63" s="20" t="s">
        <v>186</v>
      </c>
      <c r="E63" s="20" t="s">
        <v>142</v>
      </c>
      <c r="F63" s="182"/>
      <c r="G63" s="33" t="str">
        <f t="shared" si="23"/>
        <v/>
      </c>
      <c r="H63" s="22" t="str">
        <f t="shared" si="24"/>
        <v/>
      </c>
      <c r="I63" s="34"/>
      <c r="J63" s="124" t="str">
        <f t="shared" si="25"/>
        <v/>
      </c>
      <c r="K63" s="33"/>
      <c r="L63" s="22" t="str">
        <f t="shared" si="26"/>
        <v/>
      </c>
      <c r="M63" s="103"/>
      <c r="N63" s="125">
        <f>IF(AND(AG63 &lt;&gt; "", SUM(V63:AF63) &lt;= AG63), SUM(V63:AF63), AG63)</f>
        <v>0</v>
      </c>
      <c r="O63" s="124" t="str">
        <f>IF(OR(F63 ="",N63=""),"",F63*N63*Q63)</f>
        <v/>
      </c>
      <c r="P63" s="124" t="str">
        <f t="shared" si="32"/>
        <v/>
      </c>
      <c r="Q63" s="22">
        <f>75*1.1</f>
        <v>82.5</v>
      </c>
      <c r="R63" s="22" t="str">
        <f t="shared" si="33"/>
        <v/>
      </c>
      <c r="S63" s="23">
        <v>2</v>
      </c>
      <c r="T63" s="126">
        <f>S63*43.56</f>
        <v>87.12</v>
      </c>
      <c r="U63" s="24" t="str">
        <f>IF(AND(TRIM(T63)&lt;&gt;"",TRIM(F63)&lt;&gt;""),(F63*50)/T63,"")</f>
        <v/>
      </c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>
        <v>1</v>
      </c>
      <c r="AH63" s="22">
        <f t="shared" si="30"/>
        <v>0</v>
      </c>
      <c r="AI63" s="20"/>
      <c r="AK63" s="341" t="s">
        <v>187</v>
      </c>
      <c r="AL63" s="342"/>
      <c r="AM63" s="342"/>
      <c r="AN63" s="342"/>
      <c r="AO63" s="342"/>
      <c r="AP63" s="343"/>
    </row>
    <row r="64" spans="1:42" ht="17.45" customHeight="1" x14ac:dyDescent="0.2">
      <c r="A64" s="36"/>
      <c r="B64" s="36"/>
      <c r="C64" s="36"/>
      <c r="D64" s="36"/>
      <c r="E64" s="36"/>
      <c r="F64" s="185">
        <f>SUM(F17:F50,F53:F63)</f>
        <v>0</v>
      </c>
      <c r="G64" s="37"/>
      <c r="H64" s="37">
        <f>SUM(H17:H50,H53:H63)</f>
        <v>0</v>
      </c>
      <c r="I64" s="37"/>
      <c r="J64" s="127">
        <f>SUM(J17:J50,J53:J63)</f>
        <v>0</v>
      </c>
      <c r="K64" s="37"/>
      <c r="L64" s="37"/>
      <c r="M64" s="103"/>
      <c r="N64" s="128"/>
      <c r="O64" s="127">
        <f ca="1">SUM(O17:O50,O53:O63)</f>
        <v>0</v>
      </c>
      <c r="P64" s="127"/>
      <c r="Q64" s="37"/>
      <c r="R64" s="37">
        <f>SUM(R17:R50,R53:R63)</f>
        <v>0</v>
      </c>
      <c r="S64" s="38"/>
      <c r="T64" s="39"/>
      <c r="U64" s="39"/>
      <c r="V64" s="38"/>
      <c r="W64" s="38"/>
      <c r="X64" s="38"/>
      <c r="Y64" s="38"/>
      <c r="Z64" s="38"/>
      <c r="AA64" s="38"/>
      <c r="AB64" s="38"/>
      <c r="AC64" s="88" t="str">
        <f>IF(VLOOKUP(7, Rebates!$B$4:$D$14, 3, FALSE) = 0, "", IF(AH64="",0,IF(ISNA(VLOOKUP(AH64,Rebates!$M$4:$P$9,3,1)),"", VLOOKUP(AH64,Rebates!$M$4:$P$9,3,1))))</f>
        <v/>
      </c>
      <c r="AD64" s="38"/>
      <c r="AE64" s="38"/>
      <c r="AF64" s="38"/>
      <c r="AG64" s="38"/>
      <c r="AH64" s="37">
        <f>SUM(AH17:AH50,AH53:AH63)</f>
        <v>0</v>
      </c>
      <c r="AI64" s="36"/>
      <c r="AK64" s="344"/>
      <c r="AL64" s="345"/>
      <c r="AM64" s="345"/>
      <c r="AN64" s="345"/>
      <c r="AO64" s="345"/>
      <c r="AP64" s="346"/>
    </row>
    <row r="65" spans="2:42" ht="12.95" customHeight="1" x14ac:dyDescent="0.2">
      <c r="AK65" s="344"/>
      <c r="AL65" s="345"/>
      <c r="AM65" s="345"/>
      <c r="AN65" s="345"/>
      <c r="AO65" s="345"/>
      <c r="AP65" s="346"/>
    </row>
    <row r="66" spans="2:42" ht="14.45" customHeight="1" thickBot="1" x14ac:dyDescent="0.4">
      <c r="G66" s="150" t="s">
        <v>188</v>
      </c>
      <c r="H66" s="150"/>
      <c r="I66" s="150"/>
      <c r="J66" s="150"/>
      <c r="K66" s="150"/>
      <c r="L66" s="150"/>
      <c r="M66" s="150"/>
      <c r="N66" s="150"/>
      <c r="O66" s="150"/>
      <c r="P66" s="150"/>
      <c r="Q66" s="150"/>
      <c r="R66" s="150"/>
      <c r="S66" s="150"/>
      <c r="T66" s="40"/>
      <c r="U66" s="40"/>
      <c r="V66" s="40"/>
      <c r="W66" s="40"/>
      <c r="X66" s="40"/>
      <c r="Y66" s="40"/>
      <c r="AD66" s="8"/>
      <c r="AE66" s="6"/>
      <c r="AF66" s="6"/>
      <c r="AG66" s="6"/>
      <c r="AH66" s="6"/>
      <c r="AK66" s="410"/>
      <c r="AL66" s="411"/>
      <c r="AM66" s="411"/>
      <c r="AN66" s="411"/>
      <c r="AO66" s="411"/>
      <c r="AP66" s="412"/>
    </row>
    <row r="67" spans="2:42" ht="24.95" customHeight="1" thickTop="1" thickBot="1" x14ac:dyDescent="0.4">
      <c r="B67" s="359" t="s">
        <v>189</v>
      </c>
      <c r="C67" s="359"/>
      <c r="D67" s="359"/>
      <c r="E67" s="359"/>
      <c r="F67" s="359"/>
      <c r="G67" s="151"/>
      <c r="H67" s="151"/>
      <c r="I67" s="195"/>
      <c r="J67" s="195"/>
      <c r="K67" s="150"/>
      <c r="L67" s="150"/>
      <c r="M67" s="150"/>
      <c r="N67" s="150"/>
      <c r="O67" s="150"/>
      <c r="P67" s="355" t="s">
        <v>190</v>
      </c>
      <c r="Q67" s="355"/>
      <c r="R67" s="355"/>
      <c r="S67" s="355"/>
      <c r="T67" s="196"/>
      <c r="U67" s="196"/>
      <c r="V67" s="196"/>
      <c r="W67" s="196"/>
      <c r="X67" s="196"/>
      <c r="Y67" s="196"/>
      <c r="Z67" s="196"/>
      <c r="AA67" s="196"/>
      <c r="AB67" s="196"/>
      <c r="AC67" s="196"/>
      <c r="AD67" s="8"/>
      <c r="AE67" s="6"/>
      <c r="AF67" s="6"/>
      <c r="AG67" s="6"/>
      <c r="AH67" s="6"/>
      <c r="AK67" s="285"/>
      <c r="AL67" s="109"/>
      <c r="AM67" s="110"/>
      <c r="AN67" s="109"/>
      <c r="AO67" s="111"/>
      <c r="AP67" s="286"/>
    </row>
    <row r="68" spans="2:42" ht="27" customHeight="1" thickTop="1" thickBot="1" x14ac:dyDescent="0.25">
      <c r="B68" s="388" t="s">
        <v>191</v>
      </c>
      <c r="C68" s="388"/>
      <c r="D68" s="388"/>
      <c r="E68" s="388"/>
      <c r="F68" s="186"/>
      <c r="G68" s="41" t="s">
        <v>192</v>
      </c>
      <c r="H68" s="41"/>
      <c r="I68" s="41"/>
      <c r="J68" s="41"/>
      <c r="K68" s="41"/>
      <c r="L68" s="41"/>
      <c r="M68" s="41"/>
      <c r="N68" s="41"/>
      <c r="O68" s="41"/>
      <c r="P68" s="355"/>
      <c r="Q68" s="355"/>
      <c r="R68" s="355"/>
      <c r="S68" s="355"/>
      <c r="T68" s="196"/>
      <c r="U68" s="196"/>
      <c r="V68" s="196"/>
      <c r="W68" s="196"/>
      <c r="X68" s="196"/>
      <c r="Y68" s="196"/>
      <c r="Z68" s="196"/>
      <c r="AA68" s="196"/>
      <c r="AB68" s="196"/>
      <c r="AC68" s="196"/>
      <c r="AD68" s="8"/>
      <c r="AE68" s="6"/>
      <c r="AF68" s="6"/>
      <c r="AG68" s="6"/>
      <c r="AH68" s="6"/>
      <c r="AK68" s="287" t="s">
        <v>15</v>
      </c>
      <c r="AL68" s="245" t="s">
        <v>16</v>
      </c>
      <c r="AM68" s="245" t="s">
        <v>17</v>
      </c>
      <c r="AN68" s="245" t="s">
        <v>18</v>
      </c>
      <c r="AO68" s="245" t="s">
        <v>19</v>
      </c>
      <c r="AP68" s="288" t="s">
        <v>20</v>
      </c>
    </row>
    <row r="69" spans="2:42" ht="14.1" customHeight="1" thickTop="1" thickBot="1" x14ac:dyDescent="0.25">
      <c r="B69" s="388"/>
      <c r="C69" s="388"/>
      <c r="D69" s="388"/>
      <c r="E69" s="388"/>
      <c r="F69" s="187"/>
      <c r="G69" s="42"/>
      <c r="H69" s="42"/>
      <c r="I69" s="42"/>
      <c r="J69" s="42"/>
      <c r="K69" s="42"/>
      <c r="L69" s="42"/>
      <c r="M69" s="389" t="s">
        <v>193</v>
      </c>
      <c r="N69" s="389"/>
      <c r="O69" s="389"/>
      <c r="P69" s="389"/>
      <c r="Q69" s="389"/>
      <c r="R69" s="389"/>
      <c r="S69" s="389"/>
      <c r="T69" s="41"/>
      <c r="U69" s="41"/>
      <c r="V69" s="41"/>
      <c r="W69" s="41"/>
      <c r="X69" s="41"/>
      <c r="Y69" s="41"/>
      <c r="AD69" s="8"/>
      <c r="AE69" s="6"/>
      <c r="AF69" s="6"/>
      <c r="AG69" s="6"/>
      <c r="AH69" s="6"/>
      <c r="AI69" s="7"/>
      <c r="AK69" s="278" t="s">
        <v>194</v>
      </c>
      <c r="AL69" s="246" t="s">
        <v>71</v>
      </c>
      <c r="AM69" s="246">
        <v>16</v>
      </c>
      <c r="AN69" s="246" t="s">
        <v>195</v>
      </c>
      <c r="AO69" s="247">
        <v>4</v>
      </c>
      <c r="AP69" s="279">
        <v>29.38</v>
      </c>
    </row>
    <row r="70" spans="2:42" ht="28.5" customHeight="1" thickTop="1" x14ac:dyDescent="0.2">
      <c r="B70" s="388"/>
      <c r="C70" s="388"/>
      <c r="D70" s="388"/>
      <c r="E70" s="388"/>
      <c r="F70" s="187"/>
      <c r="G70" s="43"/>
      <c r="H70" s="44"/>
      <c r="I70" s="44"/>
      <c r="J70" s="44"/>
      <c r="K70" s="44"/>
      <c r="L70" s="44"/>
      <c r="M70" s="389"/>
      <c r="N70" s="389"/>
      <c r="O70" s="389"/>
      <c r="P70" s="389"/>
      <c r="Q70" s="389"/>
      <c r="R70" s="389"/>
      <c r="S70" s="389"/>
      <c r="T70" s="45"/>
      <c r="U70" s="45"/>
      <c r="V70" s="45"/>
      <c r="W70" s="45"/>
      <c r="X70" s="45"/>
      <c r="Y70" s="45"/>
      <c r="AD70" s="8"/>
      <c r="AE70" s="6"/>
      <c r="AF70" s="6"/>
      <c r="AG70" s="6"/>
      <c r="AH70" s="6"/>
      <c r="AI70" s="7"/>
      <c r="AK70" s="278" t="s">
        <v>196</v>
      </c>
      <c r="AL70" s="246" t="s">
        <v>71</v>
      </c>
      <c r="AM70" s="246">
        <v>6</v>
      </c>
      <c r="AN70" s="246" t="s">
        <v>197</v>
      </c>
      <c r="AO70" s="247">
        <v>1.5</v>
      </c>
      <c r="AP70" s="279">
        <v>29.38</v>
      </c>
    </row>
    <row r="71" spans="2:42" ht="12" customHeight="1" x14ac:dyDescent="0.2">
      <c r="B71" s="361" t="s">
        <v>198</v>
      </c>
      <c r="C71" s="361"/>
      <c r="D71" s="361"/>
      <c r="E71" s="361"/>
      <c r="F71" s="190">
        <f>H64</f>
        <v>0</v>
      </c>
      <c r="G71" s="43"/>
      <c r="H71" s="42"/>
      <c r="I71" s="42"/>
      <c r="J71" s="42"/>
      <c r="K71" s="42"/>
      <c r="L71" s="42"/>
      <c r="M71" s="387" t="s">
        <v>199</v>
      </c>
      <c r="N71" s="387"/>
      <c r="O71" s="387"/>
      <c r="P71" s="387"/>
      <c r="Q71" s="387"/>
      <c r="R71" s="387"/>
      <c r="S71" s="387"/>
      <c r="T71" s="48"/>
      <c r="U71" s="48"/>
      <c r="V71" s="45"/>
      <c r="W71" s="45"/>
      <c r="X71" s="45"/>
      <c r="Y71" s="45"/>
      <c r="AK71" s="287" t="s">
        <v>32</v>
      </c>
      <c r="AL71" s="245" t="s">
        <v>16</v>
      </c>
      <c r="AM71" s="245" t="s">
        <v>17</v>
      </c>
      <c r="AN71" s="245" t="s">
        <v>18</v>
      </c>
      <c r="AO71" s="245" t="s">
        <v>19</v>
      </c>
      <c r="AP71" s="288" t="s">
        <v>20</v>
      </c>
    </row>
    <row r="72" spans="2:42" ht="12.6" customHeight="1" thickBot="1" x14ac:dyDescent="0.25">
      <c r="B72" s="362" t="s">
        <v>200</v>
      </c>
      <c r="C72" s="362"/>
      <c r="D72" s="362"/>
      <c r="E72" s="362"/>
      <c r="F72" s="191">
        <f>SUM(H64-J64)</f>
        <v>0</v>
      </c>
      <c r="G72" s="43"/>
      <c r="H72" s="42"/>
      <c r="I72" s="42"/>
      <c r="J72" s="42"/>
      <c r="K72" s="42"/>
      <c r="L72" s="42"/>
      <c r="M72" s="387"/>
      <c r="N72" s="387"/>
      <c r="O72" s="387"/>
      <c r="P72" s="387"/>
      <c r="Q72" s="387"/>
      <c r="R72" s="387"/>
      <c r="S72" s="387"/>
      <c r="T72" s="48"/>
      <c r="U72" s="48"/>
      <c r="V72" s="45"/>
      <c r="W72" s="45"/>
      <c r="X72" s="45"/>
      <c r="Y72" s="45"/>
      <c r="AK72" s="422" t="s">
        <v>35</v>
      </c>
      <c r="AL72" s="423"/>
      <c r="AM72" s="423"/>
      <c r="AN72" s="423"/>
      <c r="AO72" s="423"/>
      <c r="AP72" s="424"/>
    </row>
    <row r="73" spans="2:42" ht="13.5" customHeight="1" x14ac:dyDescent="0.2">
      <c r="B73" s="361" t="s">
        <v>201</v>
      </c>
      <c r="C73" s="361"/>
      <c r="D73" s="361"/>
      <c r="E73" s="361"/>
      <c r="F73" s="190">
        <f>J64</f>
        <v>0</v>
      </c>
      <c r="G73" s="50"/>
      <c r="H73" s="51" t="s">
        <v>202</v>
      </c>
      <c r="I73" s="51"/>
      <c r="J73" s="208"/>
      <c r="K73" s="51"/>
      <c r="L73" s="51"/>
      <c r="M73" s="51" t="s">
        <v>202</v>
      </c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</row>
    <row r="74" spans="2:42" ht="13.5" customHeight="1" thickBot="1" x14ac:dyDescent="0.25">
      <c r="B74" s="350" t="s">
        <v>203</v>
      </c>
      <c r="C74" s="351"/>
      <c r="D74" s="351"/>
      <c r="E74" s="352"/>
      <c r="F74" s="188" t="str">
        <f>IF(AC64="","",(IF(AND(M71="Yes",AC64&lt;0.08),AC64+0.01,AC64)))</f>
        <v/>
      </c>
      <c r="G74" s="52"/>
      <c r="H74" s="51"/>
      <c r="I74" s="51"/>
      <c r="J74" s="208"/>
      <c r="K74" s="51"/>
      <c r="L74" s="51"/>
      <c r="M74" s="51"/>
      <c r="N74" s="51"/>
      <c r="O74" s="51"/>
      <c r="P74" s="357" t="s">
        <v>202</v>
      </c>
      <c r="Q74" s="357"/>
      <c r="R74" s="357"/>
      <c r="S74" s="357"/>
      <c r="T74" s="51"/>
      <c r="U74" s="51"/>
      <c r="V74" s="51"/>
      <c r="W74" s="51"/>
      <c r="X74" s="51"/>
      <c r="Y74" s="51"/>
    </row>
    <row r="75" spans="2:42" ht="12.95" customHeight="1" x14ac:dyDescent="0.2">
      <c r="B75" s="386" t="s">
        <v>204</v>
      </c>
      <c r="C75" s="386"/>
      <c r="D75" s="386"/>
      <c r="E75" s="386"/>
      <c r="F75" s="189">
        <f ca="1">O64</f>
        <v>0</v>
      </c>
      <c r="G75" s="52"/>
      <c r="H75" s="51"/>
      <c r="I75" s="51"/>
      <c r="J75" s="51"/>
      <c r="K75" s="51"/>
      <c r="L75" s="51"/>
      <c r="M75" s="51"/>
      <c r="N75" s="51"/>
      <c r="O75" s="51"/>
      <c r="P75" s="357"/>
      <c r="Q75" s="357"/>
      <c r="R75" s="357"/>
      <c r="S75" s="357"/>
      <c r="T75" s="51"/>
      <c r="U75" s="51"/>
      <c r="V75" s="51"/>
      <c r="W75" s="51"/>
      <c r="X75" s="51"/>
      <c r="Y75" s="51"/>
      <c r="AK75" s="341" t="s">
        <v>205</v>
      </c>
      <c r="AL75" s="342"/>
      <c r="AM75" s="342"/>
      <c r="AN75" s="342"/>
      <c r="AO75" s="342"/>
      <c r="AP75" s="343"/>
    </row>
    <row r="76" spans="2:42" ht="12.95" customHeight="1" x14ac:dyDescent="0.2">
      <c r="B76" s="358" t="s">
        <v>206</v>
      </c>
      <c r="C76" s="358"/>
      <c r="D76" s="358"/>
      <c r="E76" s="358"/>
      <c r="F76" s="192">
        <f>R64</f>
        <v>0</v>
      </c>
      <c r="G76" s="52"/>
      <c r="H76" s="51"/>
      <c r="I76" s="51"/>
      <c r="J76" s="51"/>
      <c r="K76" s="51"/>
      <c r="L76" s="51"/>
      <c r="M76" s="51"/>
      <c r="N76" s="51"/>
      <c r="O76" s="51"/>
      <c r="P76" s="357"/>
      <c r="Q76" s="357"/>
      <c r="R76" s="357"/>
      <c r="S76" s="357"/>
      <c r="T76" s="51"/>
      <c r="U76" s="51"/>
      <c r="V76" s="51"/>
      <c r="W76" s="51"/>
      <c r="X76" s="51"/>
      <c r="Y76" s="51"/>
      <c r="AK76" s="344"/>
      <c r="AL76" s="345"/>
      <c r="AM76" s="345"/>
      <c r="AN76" s="345"/>
      <c r="AO76" s="345"/>
      <c r="AP76" s="346"/>
    </row>
    <row r="77" spans="2:42" ht="14.45" customHeight="1" thickBot="1" x14ac:dyDescent="0.25">
      <c r="B77" s="382" t="s">
        <v>207</v>
      </c>
      <c r="C77" s="382"/>
      <c r="D77" s="382"/>
      <c r="E77" s="382"/>
      <c r="F77" s="193">
        <f>IF(AND(J64 &lt;&gt;"",J64 &gt; 0), SUM(O64/J64),0)</f>
        <v>0</v>
      </c>
      <c r="G77" s="52"/>
      <c r="H77" s="51"/>
      <c r="I77" s="51"/>
      <c r="J77" s="51"/>
      <c r="K77" s="51"/>
      <c r="L77" s="51"/>
      <c r="M77" s="51"/>
      <c r="N77" s="51"/>
      <c r="O77" s="51"/>
      <c r="P77" s="357"/>
      <c r="Q77" s="357"/>
      <c r="R77" s="357"/>
      <c r="S77" s="357"/>
      <c r="T77" s="51"/>
      <c r="U77" s="51"/>
      <c r="V77" s="51"/>
      <c r="W77" s="51"/>
      <c r="X77" s="51"/>
      <c r="Y77" s="51"/>
      <c r="AK77" s="347"/>
      <c r="AL77" s="348"/>
      <c r="AM77" s="348"/>
      <c r="AN77" s="348"/>
      <c r="AO77" s="348"/>
      <c r="AP77" s="349"/>
    </row>
    <row r="78" spans="2:42" ht="14.45" hidden="1" customHeight="1" x14ac:dyDescent="0.2">
      <c r="B78" s="358" t="s">
        <v>208</v>
      </c>
      <c r="C78" s="358"/>
      <c r="D78" s="358"/>
      <c r="E78" s="358"/>
      <c r="F78" s="194">
        <f>IF(AND(F70 &lt;&gt; "", F70 &gt; 0), ((F70 - F72) + F74)/F70,0)</f>
        <v>0</v>
      </c>
      <c r="H78" s="51"/>
      <c r="I78" s="51"/>
      <c r="J78" s="51"/>
      <c r="K78" s="51"/>
      <c r="L78" s="51"/>
      <c r="M78" s="51"/>
      <c r="N78" s="51"/>
      <c r="O78" s="51"/>
      <c r="P78" s="357"/>
      <c r="Q78" s="357"/>
      <c r="R78" s="357"/>
      <c r="S78" s="357"/>
      <c r="AK78" s="289"/>
      <c r="AL78" s="213"/>
      <c r="AM78" s="213"/>
      <c r="AN78" s="213"/>
      <c r="AO78" s="213"/>
      <c r="AP78" s="290"/>
    </row>
    <row r="79" spans="2:42" ht="14.45" customHeight="1" thickTop="1" x14ac:dyDescent="0.2">
      <c r="B79" s="358" t="s">
        <v>209</v>
      </c>
      <c r="C79" s="358"/>
      <c r="D79" s="358"/>
      <c r="E79" s="358"/>
      <c r="F79" s="194">
        <f>IF(AND(F71 &lt;&gt; "", F71 &gt; 0), ((F71 - F73) + F75)/F71,0)</f>
        <v>0</v>
      </c>
      <c r="P79" s="357"/>
      <c r="Q79" s="357"/>
      <c r="R79" s="357"/>
      <c r="S79" s="357"/>
      <c r="AK79" s="285"/>
      <c r="AL79" s="109"/>
      <c r="AM79" s="110"/>
      <c r="AN79" s="109"/>
      <c r="AO79" s="111"/>
      <c r="AP79" s="286"/>
    </row>
    <row r="80" spans="2:42" ht="15" customHeight="1" x14ac:dyDescent="0.2">
      <c r="B80" s="367" t="str">
        <f ca="1">CONCATENATE("Estimated MBR points to be earned in the Product Cart: ",TEXT(IF(AND(F75 &lt;&gt;"", F75 &gt; 0),F75*100, 0),"#,##0"))</f>
        <v>Estimated MBR points to be earned in the Product Cart: 0</v>
      </c>
      <c r="C80" s="368"/>
      <c r="D80" s="368"/>
      <c r="E80" s="368"/>
      <c r="F80" s="369"/>
      <c r="P80" s="357"/>
      <c r="Q80" s="357"/>
      <c r="R80" s="357"/>
      <c r="S80" s="357"/>
      <c r="AK80" s="255" t="s">
        <v>15</v>
      </c>
      <c r="AL80" s="26" t="s">
        <v>16</v>
      </c>
      <c r="AM80" s="27" t="s">
        <v>17</v>
      </c>
      <c r="AN80" s="26" t="s">
        <v>18</v>
      </c>
      <c r="AO80" s="28" t="s">
        <v>19</v>
      </c>
      <c r="AP80" s="256" t="s">
        <v>20</v>
      </c>
    </row>
    <row r="81" spans="2:42" ht="27" customHeight="1" x14ac:dyDescent="0.2">
      <c r="B81" s="360" t="s">
        <v>210</v>
      </c>
      <c r="C81" s="360"/>
      <c r="D81" s="360"/>
      <c r="E81" s="360"/>
      <c r="F81" s="360"/>
      <c r="P81" s="357"/>
      <c r="Q81" s="357"/>
      <c r="R81" s="357"/>
      <c r="S81" s="357"/>
      <c r="AK81" s="257" t="s">
        <v>211</v>
      </c>
      <c r="AL81" s="35" t="s">
        <v>71</v>
      </c>
      <c r="AM81" s="29">
        <v>6</v>
      </c>
      <c r="AN81" s="19" t="s">
        <v>197</v>
      </c>
      <c r="AO81" s="30">
        <v>4</v>
      </c>
      <c r="AP81" s="258">
        <f>(AM81*319.999849189052)/(AO81*43.56)</f>
        <v>11.01927855334201</v>
      </c>
    </row>
    <row r="82" spans="2:42" x14ac:dyDescent="0.2">
      <c r="B82" s="360"/>
      <c r="C82" s="360"/>
      <c r="D82" s="360"/>
      <c r="E82" s="360"/>
      <c r="F82" s="360"/>
      <c r="P82" s="357"/>
      <c r="Q82" s="357"/>
      <c r="R82" s="357"/>
      <c r="S82" s="357"/>
      <c r="AK82" s="257" t="s">
        <v>212</v>
      </c>
      <c r="AL82" s="35" t="s">
        <v>71</v>
      </c>
      <c r="AM82" s="29">
        <v>2</v>
      </c>
      <c r="AN82" s="19" t="s">
        <v>153</v>
      </c>
      <c r="AO82" s="30">
        <v>1</v>
      </c>
      <c r="AP82" s="258">
        <f>(AM82*319.999849189052)/(AO82*43.56)</f>
        <v>14.692371404456013</v>
      </c>
    </row>
    <row r="83" spans="2:42" ht="24" x14ac:dyDescent="0.2">
      <c r="B83" s="360"/>
      <c r="C83" s="360"/>
      <c r="D83" s="360"/>
      <c r="E83" s="360"/>
      <c r="F83" s="360"/>
      <c r="P83" s="357"/>
      <c r="Q83" s="357"/>
      <c r="R83" s="357"/>
      <c r="S83" s="357"/>
      <c r="AK83" s="255" t="s">
        <v>32</v>
      </c>
      <c r="AL83" s="26" t="s">
        <v>16</v>
      </c>
      <c r="AM83" s="27" t="s">
        <v>17</v>
      </c>
      <c r="AN83" s="26" t="s">
        <v>18</v>
      </c>
      <c r="AO83" s="28" t="s">
        <v>19</v>
      </c>
      <c r="AP83" s="256" t="s">
        <v>20</v>
      </c>
    </row>
    <row r="84" spans="2:42" ht="12.95" customHeight="1" thickBot="1" x14ac:dyDescent="0.25">
      <c r="B84" s="360"/>
      <c r="C84" s="360"/>
      <c r="D84" s="360"/>
      <c r="E84" s="360"/>
      <c r="F84" s="360"/>
      <c r="AK84" s="291" t="s">
        <v>35</v>
      </c>
      <c r="AL84" s="292"/>
      <c r="AM84" s="292"/>
      <c r="AN84" s="292"/>
      <c r="AO84" s="292"/>
      <c r="AP84" s="293"/>
    </row>
    <row r="85" spans="2:42" ht="12.95" customHeight="1" x14ac:dyDescent="0.2">
      <c r="B85" s="360"/>
      <c r="C85" s="360"/>
      <c r="D85" s="360"/>
      <c r="E85" s="360"/>
      <c r="F85" s="360"/>
      <c r="P85" s="356"/>
      <c r="Q85" s="356"/>
      <c r="R85" s="356"/>
      <c r="S85" s="356"/>
      <c r="T85" s="356"/>
      <c r="U85" s="356"/>
      <c r="V85" s="356"/>
      <c r="W85" s="356"/>
      <c r="X85" s="356"/>
      <c r="AK85" s="10"/>
      <c r="AL85" s="11"/>
      <c r="AM85" s="6"/>
      <c r="AO85" s="6"/>
      <c r="AP85" s="6"/>
    </row>
    <row r="86" spans="2:42" ht="9" customHeight="1" x14ac:dyDescent="0.2">
      <c r="B86" s="360"/>
      <c r="C86" s="360"/>
      <c r="D86" s="360"/>
      <c r="E86" s="360"/>
      <c r="F86" s="360"/>
      <c r="P86" s="356"/>
      <c r="Q86" s="356"/>
      <c r="R86" s="356"/>
      <c r="S86" s="356"/>
      <c r="T86" s="356"/>
      <c r="U86" s="356"/>
      <c r="V86" s="356"/>
      <c r="W86" s="356"/>
      <c r="X86" s="356"/>
    </row>
    <row r="87" spans="2:42" ht="19.5" customHeight="1" thickBot="1" x14ac:dyDescent="0.4">
      <c r="B87" s="360"/>
      <c r="C87" s="360"/>
      <c r="D87" s="360"/>
      <c r="E87" s="360"/>
      <c r="F87" s="360"/>
      <c r="P87" s="356"/>
      <c r="Q87" s="356"/>
      <c r="R87" s="356"/>
      <c r="S87" s="356"/>
      <c r="T87" s="356"/>
      <c r="U87" s="356"/>
      <c r="V87" s="356"/>
      <c r="W87" s="356"/>
      <c r="X87" s="356"/>
      <c r="AK87" s="105" t="s">
        <v>213</v>
      </c>
      <c r="AL87" s="105"/>
      <c r="AM87" s="106"/>
      <c r="AN87" s="105"/>
      <c r="AO87" s="107"/>
      <c r="AP87" s="108"/>
    </row>
    <row r="88" spans="2:42" ht="22.5" thickTop="1" thickBot="1" x14ac:dyDescent="0.4">
      <c r="B88" s="360"/>
      <c r="C88" s="360"/>
      <c r="D88" s="360"/>
      <c r="E88" s="360"/>
      <c r="F88" s="360"/>
      <c r="P88" s="356"/>
      <c r="Q88" s="356"/>
      <c r="R88" s="356"/>
      <c r="S88" s="356"/>
      <c r="T88" s="356"/>
      <c r="U88" s="356"/>
      <c r="V88" s="356"/>
      <c r="W88" s="356"/>
      <c r="X88" s="356"/>
      <c r="AK88" s="105"/>
      <c r="AL88" s="105"/>
      <c r="AM88" s="106"/>
      <c r="AN88" s="105"/>
      <c r="AO88" s="107"/>
      <c r="AP88" s="108"/>
    </row>
    <row r="89" spans="2:42" ht="14.25" thickTop="1" thickBot="1" x14ac:dyDescent="0.25">
      <c r="B89" s="360"/>
      <c r="C89" s="360"/>
      <c r="D89" s="360"/>
      <c r="E89" s="360"/>
      <c r="F89" s="360"/>
      <c r="P89" s="356"/>
      <c r="Q89" s="356"/>
      <c r="R89" s="356"/>
      <c r="S89" s="356"/>
      <c r="T89" s="356"/>
      <c r="U89" s="356"/>
      <c r="V89" s="356"/>
      <c r="W89" s="356"/>
      <c r="X89" s="356"/>
    </row>
    <row r="90" spans="2:42" ht="18.600000000000001" customHeight="1" x14ac:dyDescent="0.2">
      <c r="B90" s="360"/>
      <c r="C90" s="360"/>
      <c r="D90" s="360"/>
      <c r="E90" s="360"/>
      <c r="F90" s="360"/>
      <c r="AK90" s="341" t="s">
        <v>214</v>
      </c>
      <c r="AL90" s="342"/>
      <c r="AM90" s="342"/>
      <c r="AN90" s="342"/>
      <c r="AO90" s="342"/>
      <c r="AP90" s="343"/>
    </row>
    <row r="91" spans="2:42" ht="12.95" customHeight="1" x14ac:dyDescent="0.2">
      <c r="B91" s="360"/>
      <c r="C91" s="360"/>
      <c r="D91" s="360"/>
      <c r="E91" s="360"/>
      <c r="F91" s="360"/>
      <c r="AK91" s="344"/>
      <c r="AL91" s="345"/>
      <c r="AM91" s="345"/>
      <c r="AN91" s="345"/>
      <c r="AO91" s="345"/>
      <c r="AP91" s="346"/>
    </row>
    <row r="92" spans="2:42" ht="12.95" customHeight="1" x14ac:dyDescent="0.2">
      <c r="B92" s="360"/>
      <c r="C92" s="360"/>
      <c r="D92" s="360"/>
      <c r="E92" s="360"/>
      <c r="F92" s="360"/>
      <c r="AK92" s="344"/>
      <c r="AL92" s="345"/>
      <c r="AM92" s="345"/>
      <c r="AN92" s="345"/>
      <c r="AO92" s="345"/>
      <c r="AP92" s="346"/>
    </row>
    <row r="93" spans="2:42" ht="23.1" customHeight="1" thickBot="1" x14ac:dyDescent="0.25">
      <c r="B93" s="360"/>
      <c r="C93" s="360"/>
      <c r="D93" s="360"/>
      <c r="E93" s="360"/>
      <c r="F93" s="360"/>
      <c r="AK93" s="410"/>
      <c r="AL93" s="411"/>
      <c r="AM93" s="411"/>
      <c r="AN93" s="411"/>
      <c r="AO93" s="411"/>
      <c r="AP93" s="412"/>
    </row>
    <row r="94" spans="2:42" ht="23.45" customHeight="1" thickTop="1" x14ac:dyDescent="0.2">
      <c r="B94" s="360"/>
      <c r="C94" s="360"/>
      <c r="D94" s="360"/>
      <c r="E94" s="360"/>
      <c r="F94" s="360"/>
      <c r="AK94" s="285"/>
      <c r="AL94" s="109"/>
      <c r="AM94" s="110"/>
      <c r="AN94" s="109"/>
      <c r="AO94" s="111"/>
      <c r="AP94" s="286"/>
    </row>
    <row r="95" spans="2:42" ht="24" x14ac:dyDescent="0.2">
      <c r="B95" s="360"/>
      <c r="C95" s="360"/>
      <c r="D95" s="360"/>
      <c r="E95" s="360"/>
      <c r="F95" s="360"/>
      <c r="AK95" s="255" t="s">
        <v>15</v>
      </c>
      <c r="AL95" s="26" t="s">
        <v>16</v>
      </c>
      <c r="AM95" s="27" t="s">
        <v>17</v>
      </c>
      <c r="AN95" s="26" t="s">
        <v>18</v>
      </c>
      <c r="AO95" s="28" t="s">
        <v>19</v>
      </c>
      <c r="AP95" s="256" t="s">
        <v>20</v>
      </c>
    </row>
    <row r="96" spans="2:42" ht="25.5" x14ac:dyDescent="0.2">
      <c r="B96" s="360"/>
      <c r="C96" s="360"/>
      <c r="D96" s="360"/>
      <c r="E96" s="360"/>
      <c r="F96" s="360"/>
      <c r="AK96" s="294" t="s">
        <v>215</v>
      </c>
      <c r="AL96" s="101" t="s">
        <v>216</v>
      </c>
      <c r="AM96" s="98" t="s">
        <v>111</v>
      </c>
      <c r="AN96" s="99" t="s">
        <v>112</v>
      </c>
      <c r="AO96" s="100">
        <v>4</v>
      </c>
      <c r="AP96" s="295">
        <f>(3*703.999999010471)/(AO96*43.56)</f>
        <v>12.121212104174775</v>
      </c>
    </row>
    <row r="97" spans="37:42" x14ac:dyDescent="0.2">
      <c r="AK97" s="296" t="s">
        <v>211</v>
      </c>
      <c r="AL97" s="97" t="s">
        <v>71</v>
      </c>
      <c r="AM97" s="102">
        <v>6</v>
      </c>
      <c r="AN97" s="99" t="s">
        <v>197</v>
      </c>
      <c r="AO97" s="100">
        <v>4</v>
      </c>
      <c r="AP97" s="295">
        <f>(AM97*319.999849189052)/(AO97*43.56)</f>
        <v>11.01927855334201</v>
      </c>
    </row>
    <row r="98" spans="37:42" ht="24" x14ac:dyDescent="0.2">
      <c r="AK98" s="255" t="s">
        <v>32</v>
      </c>
      <c r="AL98" s="26" t="s">
        <v>16</v>
      </c>
      <c r="AM98" s="27" t="s">
        <v>17</v>
      </c>
      <c r="AN98" s="26" t="s">
        <v>18</v>
      </c>
      <c r="AO98" s="28" t="s">
        <v>19</v>
      </c>
      <c r="AP98" s="256" t="s">
        <v>20</v>
      </c>
    </row>
    <row r="99" spans="37:42" ht="13.5" thickBot="1" x14ac:dyDescent="0.25">
      <c r="AK99" s="291" t="s">
        <v>35</v>
      </c>
      <c r="AL99" s="292"/>
      <c r="AM99" s="292"/>
      <c r="AN99" s="292"/>
      <c r="AO99" s="292"/>
      <c r="AP99" s="293"/>
    </row>
    <row r="101" spans="37:42" ht="21" customHeight="1" thickBot="1" x14ac:dyDescent="0.25"/>
    <row r="102" spans="37:42" ht="19.5" customHeight="1" x14ac:dyDescent="0.2">
      <c r="AK102" s="341" t="s">
        <v>217</v>
      </c>
      <c r="AL102" s="342"/>
      <c r="AM102" s="342"/>
      <c r="AN102" s="342"/>
      <c r="AO102" s="342"/>
      <c r="AP102" s="343"/>
    </row>
    <row r="103" spans="37:42" ht="14.45" customHeight="1" x14ac:dyDescent="0.2">
      <c r="AK103" s="344"/>
      <c r="AL103" s="345"/>
      <c r="AM103" s="345"/>
      <c r="AN103" s="345"/>
      <c r="AO103" s="345"/>
      <c r="AP103" s="346"/>
    </row>
    <row r="104" spans="37:42" ht="14.45" customHeight="1" x14ac:dyDescent="0.2">
      <c r="AK104" s="344"/>
      <c r="AL104" s="345"/>
      <c r="AM104" s="345"/>
      <c r="AN104" s="345"/>
      <c r="AO104" s="345"/>
      <c r="AP104" s="346"/>
    </row>
    <row r="105" spans="37:42" ht="12.95" customHeight="1" x14ac:dyDescent="0.2">
      <c r="AK105" s="347"/>
      <c r="AL105" s="348"/>
      <c r="AM105" s="348"/>
      <c r="AN105" s="348"/>
      <c r="AO105" s="348"/>
      <c r="AP105" s="349"/>
    </row>
    <row r="106" spans="37:42" ht="12.95" customHeight="1" x14ac:dyDescent="0.2">
      <c r="AK106" s="253"/>
      <c r="AL106" s="248"/>
      <c r="AM106" s="249"/>
      <c r="AN106" s="248"/>
      <c r="AO106" s="250"/>
      <c r="AP106" s="254"/>
    </row>
    <row r="107" spans="37:42" ht="24" x14ac:dyDescent="0.2">
      <c r="AK107" s="255" t="s">
        <v>15</v>
      </c>
      <c r="AL107" s="26" t="s">
        <v>16</v>
      </c>
      <c r="AM107" s="27" t="s">
        <v>17</v>
      </c>
      <c r="AN107" s="26" t="s">
        <v>18</v>
      </c>
      <c r="AO107" s="28" t="s">
        <v>19</v>
      </c>
      <c r="AP107" s="256" t="s">
        <v>20</v>
      </c>
    </row>
    <row r="108" spans="37:42" x14ac:dyDescent="0.2">
      <c r="AK108" s="257" t="s">
        <v>218</v>
      </c>
      <c r="AL108" s="35" t="s">
        <v>71</v>
      </c>
      <c r="AM108" s="29">
        <v>24</v>
      </c>
      <c r="AN108" s="19" t="s">
        <v>112</v>
      </c>
      <c r="AO108" s="30">
        <v>4</v>
      </c>
      <c r="AP108" s="258">
        <f>(AM108*87.9999998763089)/(AO108*43.56)</f>
        <v>12.121212104174781</v>
      </c>
    </row>
    <row r="109" spans="37:42" ht="24.95" customHeight="1" thickBot="1" x14ac:dyDescent="0.25">
      <c r="AK109" s="264" t="s">
        <v>211</v>
      </c>
      <c r="AL109" s="265" t="s">
        <v>71</v>
      </c>
      <c r="AM109" s="261">
        <v>6</v>
      </c>
      <c r="AN109" s="260" t="s">
        <v>197</v>
      </c>
      <c r="AO109" s="266">
        <v>4</v>
      </c>
      <c r="AP109" s="267">
        <f>(AM109*319.999849189052)/(AO109*43.56)</f>
        <v>11.01927855334201</v>
      </c>
    </row>
  </sheetData>
  <sheetProtection algorithmName="SHA-512" hashValue="uRwsNACW74/aWXMQbYbEB/gUupTqSVg7ba4YjWjv9Jf29Z9BgZmeuMLBjhMjgV+C3k5QoZTMmE1eEpiSiJXx0w==" saltValue="Xvwjyuh5ZW1PBYpgbULhCg==" spinCount="100000" sheet="1" objects="1" scenarios="1"/>
  <mergeCells count="77">
    <mergeCell ref="AK53:AP55"/>
    <mergeCell ref="AK75:AP77"/>
    <mergeCell ref="AK90:AP93"/>
    <mergeCell ref="AK36:AP38"/>
    <mergeCell ref="AK45:AP47"/>
    <mergeCell ref="AK63:AP66"/>
    <mergeCell ref="AK72:AP72"/>
    <mergeCell ref="A16:A18"/>
    <mergeCell ref="V16:V18"/>
    <mergeCell ref="W16:W18"/>
    <mergeCell ref="X16:X18"/>
    <mergeCell ref="Y16:Y18"/>
    <mergeCell ref="P16:P18"/>
    <mergeCell ref="B1:D1"/>
    <mergeCell ref="N1:U1"/>
    <mergeCell ref="E1:F1"/>
    <mergeCell ref="K16:K18"/>
    <mergeCell ref="L16:L18"/>
    <mergeCell ref="N3:T3"/>
    <mergeCell ref="O16:O18"/>
    <mergeCell ref="B16:B18"/>
    <mergeCell ref="C16:C18"/>
    <mergeCell ref="D16:D18"/>
    <mergeCell ref="E16:E18"/>
    <mergeCell ref="F16:F18"/>
    <mergeCell ref="H16:H18"/>
    <mergeCell ref="M16:M18"/>
    <mergeCell ref="U16:U18"/>
    <mergeCell ref="B4:F5"/>
    <mergeCell ref="AI16:AI18"/>
    <mergeCell ref="AB16:AB18"/>
    <mergeCell ref="AC16:AC18"/>
    <mergeCell ref="AD16:AD18"/>
    <mergeCell ref="AE16:AE18"/>
    <mergeCell ref="AF16:AF18"/>
    <mergeCell ref="AG16:AG18"/>
    <mergeCell ref="B77:E77"/>
    <mergeCell ref="B12:D12"/>
    <mergeCell ref="Z16:Z18"/>
    <mergeCell ref="AA16:AA18"/>
    <mergeCell ref="AH16:AH18"/>
    <mergeCell ref="B75:E75"/>
    <mergeCell ref="M71:S72"/>
    <mergeCell ref="B76:E76"/>
    <mergeCell ref="B68:E70"/>
    <mergeCell ref="M69:S70"/>
    <mergeCell ref="R16:R18"/>
    <mergeCell ref="N16:N18"/>
    <mergeCell ref="Q16:Q18"/>
    <mergeCell ref="G16:G18"/>
    <mergeCell ref="B73:E73"/>
    <mergeCell ref="AL1:AM1"/>
    <mergeCell ref="AJ3:AP5"/>
    <mergeCell ref="AK7:AP9"/>
    <mergeCell ref="AK18:AP20"/>
    <mergeCell ref="AK27:AP29"/>
    <mergeCell ref="AK102:AP105"/>
    <mergeCell ref="B74:E74"/>
    <mergeCell ref="I16:I18"/>
    <mergeCell ref="J16:J18"/>
    <mergeCell ref="P67:S68"/>
    <mergeCell ref="P85:X89"/>
    <mergeCell ref="P74:S83"/>
    <mergeCell ref="B78:E78"/>
    <mergeCell ref="B67:F67"/>
    <mergeCell ref="B81:F96"/>
    <mergeCell ref="B71:E71"/>
    <mergeCell ref="B72:E72"/>
    <mergeCell ref="S16:S18"/>
    <mergeCell ref="T16:T18"/>
    <mergeCell ref="B79:E79"/>
    <mergeCell ref="B80:F80"/>
    <mergeCell ref="D6:F6"/>
    <mergeCell ref="D7:F7"/>
    <mergeCell ref="D8:F8"/>
    <mergeCell ref="D9:F9"/>
    <mergeCell ref="D10:F10"/>
  </mergeCells>
  <phoneticPr fontId="36" type="noConversion"/>
  <conditionalFormatting sqref="A53:B63 B19:B49">
    <cfRule type="iconSet" priority="20">
      <iconSet iconSet="3Flags" showValue="0">
        <cfvo type="num" val="-1"/>
        <cfvo type="num" val="0"/>
        <cfvo type="num" val="1"/>
      </iconSet>
    </cfRule>
  </conditionalFormatting>
  <conditionalFormatting sqref="B50">
    <cfRule type="iconSet" priority="10">
      <iconSet iconSet="3Flags" showValue="0">
        <cfvo type="num" val="-1"/>
        <cfvo type="num" val="0"/>
        <cfvo type="num" val="1"/>
      </iconSet>
    </cfRule>
  </conditionalFormatting>
  <conditionalFormatting sqref="A17:B18 A19">
    <cfRule type="iconSet" priority="8">
      <iconSet iconSet="3Flags" showValue="0">
        <cfvo type="num" val="-1"/>
        <cfvo type="num" val="0"/>
        <cfvo type="num" val="1"/>
      </iconSet>
    </cfRule>
  </conditionalFormatting>
  <conditionalFormatting sqref="A20:A49">
    <cfRule type="iconSet" priority="7">
      <iconSet iconSet="3Flags" showValue="0">
        <cfvo type="num" val="-1"/>
        <cfvo type="num" val="0"/>
        <cfvo type="num" val="1"/>
      </iconSet>
    </cfRule>
  </conditionalFormatting>
  <conditionalFormatting sqref="A50">
    <cfRule type="iconSet" priority="6">
      <iconSet iconSet="3Flags" showValue="0">
        <cfvo type="num" val="-1"/>
        <cfvo type="num" val="0"/>
        <cfvo type="num" val="1"/>
      </iconSet>
    </cfRule>
  </conditionalFormatting>
  <dataValidations count="33">
    <dataValidation type="decimal" errorStyle="warning" allowBlank="1" showInputMessage="1" showErrorMessage="1" errorTitle="Use Rate Error" error="Must be between 5.0000 and 5.0000" sqref="S61" xr:uid="{58BAB2DB-0689-48FF-99B1-EE167EEB766F}">
      <formula1>5</formula1>
      <formula2>5</formula2>
    </dataValidation>
    <dataValidation type="decimal" errorStyle="warning" allowBlank="1" showInputMessage="1" showErrorMessage="1" errorTitle="Use Rate Error" error="Must be between 1.0000 and 4.5000" sqref="S60" xr:uid="{C7198272-BCF7-4B7B-9C36-098746D220DF}">
      <formula1>1</formula1>
      <formula2>4.5</formula2>
    </dataValidation>
    <dataValidation type="decimal" errorStyle="warning" allowBlank="1" showInputMessage="1" showErrorMessage="1" errorTitle="Use Rate Error" error="Must be between 0.0320 and 0.0900" sqref="S59" xr:uid="{4AD35BCA-189B-4DCB-AD61-51282884327C}">
      <formula1>0.032</formula1>
      <formula2>0.09</formula2>
    </dataValidation>
    <dataValidation type="decimal" errorStyle="warning" allowBlank="1" showInputMessage="1" showErrorMessage="1" errorTitle="Use Rate Error" error="Must be between 4.6000 and 6.9000" sqref="S58" xr:uid="{48D9F91C-B7E3-4E84-8E04-7FCE30B93720}">
      <formula1>4.6</formula1>
      <formula2>6.9</formula2>
    </dataValidation>
    <dataValidation type="decimal" errorStyle="warning" allowBlank="1" showInputMessage="1" showErrorMessage="1" errorTitle="Use Rate Error" error="Must be between 0.1000 and 0.2500" sqref="S57" xr:uid="{FD9A06C7-80A9-422A-BE1D-58F9742686AA}">
      <formula1>0.1</formula1>
      <formula2>0.25</formula2>
    </dataValidation>
    <dataValidation type="decimal" errorStyle="warning" allowBlank="1" showInputMessage="1" showErrorMessage="1" errorTitle="Use Rate Error" error="Must be between 0.6000 and 1.5000" sqref="S55" xr:uid="{57D40137-F4A7-449E-9826-DCDAAA3A6E04}">
      <formula1>0.6</formula1>
      <formula2>1.5</formula2>
    </dataValidation>
    <dataValidation type="decimal" errorStyle="warning" allowBlank="1" showInputMessage="1" showErrorMessage="1" errorTitle="Use Rate Error" error="Must be between 2.0000 and 8.0000" sqref="S53" xr:uid="{B1B9AD71-A881-45F2-A9FA-8D23C3339A83}">
      <formula1>2</formula1>
      <formula2>8</formula2>
    </dataValidation>
    <dataValidation type="decimal" errorStyle="warning" allowBlank="1" showInputMessage="1" showErrorMessage="1" errorTitle="Use Rate Error" error="Must be between 2.0000 and 2.0000" sqref="S63" xr:uid="{E725DD48-AFFA-473F-BC97-0D0EF460FA61}">
      <formula1>2</formula1>
      <formula2>2</formula2>
    </dataValidation>
    <dataValidation type="decimal" errorStyle="warning" allowBlank="1" showInputMessage="1" showErrorMessage="1" errorTitle="Use Rate Error" error="Must be between 0.3670 and 0.7350" sqref="S49" xr:uid="{C821B80C-EC73-41FD-90F4-FDC31FAC9B41}">
      <formula1>0.367</formula1>
      <formula2>0.735</formula2>
    </dataValidation>
    <dataValidation type="whole" allowBlank="1" showInputMessage="1" showErrorMessage="1" errorTitle="# Units Error" error="Must be 26 or greater." sqref="F45" xr:uid="{D0355857-37E2-4050-860B-0FD1D64CAFA7}">
      <formula1>26</formula1>
      <formula2>9999999</formula2>
    </dataValidation>
    <dataValidation type="whole" allowBlank="1" showInputMessage="1" showErrorMessage="1" errorTitle="# Units Error" error="Must be between 14 and 25" sqref="F44" xr:uid="{81A05026-A6E5-414E-9AD4-D1F06243C247}">
      <formula1>14</formula1>
      <formula2>25</formula2>
    </dataValidation>
    <dataValidation type="whole" allowBlank="1" showInputMessage="1" showErrorMessage="1" errorTitle="# Units Error" error="Must be between 1 and 13" sqref="F43" xr:uid="{BF2CBB88-9BF0-43AA-AE6C-622C7C2E77F8}">
      <formula1>1</formula1>
      <formula2>13</formula2>
    </dataValidation>
    <dataValidation type="whole" allowBlank="1" showInputMessage="1" showErrorMessage="1" errorTitle="# Units Error" error="Must be 24 or greater." sqref="F42" xr:uid="{1DF7116A-3E33-4B8C-A6DE-039A5576B2AC}">
      <formula1>24</formula1>
      <formula2>9999999</formula2>
    </dataValidation>
    <dataValidation type="decimal" errorStyle="warning" allowBlank="1" showInputMessage="1" showErrorMessage="1" errorTitle="Use Rate Error" error="Must be between 2.0000 and 6.0000" sqref="S41:S42" xr:uid="{CDED843A-75A4-414A-8250-F5074E295B9D}">
      <formula1>2</formula1>
      <formula2>6</formula2>
    </dataValidation>
    <dataValidation type="whole" allowBlank="1" showInputMessage="1" showErrorMessage="1" errorTitle="# Units Error" error="Must be between 1 and 23" sqref="F41" xr:uid="{9C4CA5B4-0DD8-4ADC-BD5A-D04A70AD517F}">
      <formula1>1</formula1>
      <formula2>23</formula2>
    </dataValidation>
    <dataValidation type="decimal" errorStyle="warning" allowBlank="1" showInputMessage="1" showErrorMessage="1" errorTitle="Use Rate Error" error="Must be between 1.0000 and 2.0000" sqref="S36" xr:uid="{88A8AF1F-5E86-4905-9848-96435BFEF830}">
      <formula1>1</formula1>
      <formula2>2</formula2>
    </dataValidation>
    <dataValidation type="decimal" errorStyle="warning" allowBlank="1" showInputMessage="1" showErrorMessage="1" errorTitle="Use Rate Error" error="Must be between 2.0000 and 7.0000" sqref="S33:S34" xr:uid="{9EDC1996-F2C3-496F-A1BE-7C6D218C0339}">
      <formula1>2</formula1>
      <formula2>7</formula2>
    </dataValidation>
    <dataValidation type="whole" allowBlank="1" showInputMessage="1" showErrorMessage="1" errorTitle="# Units Error" error="Must be 6 or greater." sqref="F32 F34" xr:uid="{D2021516-0CB9-4888-9CB3-6C00459673A7}">
      <formula1>6</formula1>
      <formula2>9999999</formula2>
    </dataValidation>
    <dataValidation type="decimal" errorStyle="warning" allowBlank="1" showInputMessage="1" showErrorMessage="1" errorTitle="Use Rate Error" error="Must be between 0.1950 and 0.3900" sqref="S31:S32" xr:uid="{3872BCF0-F237-4D36-9F36-F3BDA5B5AA9F}">
      <formula1>0.195</formula1>
      <formula2>0.39</formula2>
    </dataValidation>
    <dataValidation type="whole" allowBlank="1" showInputMessage="1" showErrorMessage="1" errorTitle="# Units Error" error="Must be between 1 and 5" sqref="F31 F33 F47" xr:uid="{03F72A04-5A78-4E06-B703-6FF6815CB70D}">
      <formula1>1</formula1>
      <formula2>5</formula2>
    </dataValidation>
    <dataValidation type="whole" allowBlank="1" showInputMessage="1" showErrorMessage="1" errorTitle="# Units Error" error="Must be 3 or greater." sqref="F25" xr:uid="{54FAC7B4-90E9-4BF8-8F9E-378E25CE2539}">
      <formula1>3</formula1>
      <formula2>9999999</formula2>
    </dataValidation>
    <dataValidation type="decimal" errorStyle="warning" allowBlank="1" showInputMessage="1" showErrorMessage="1" errorTitle="Use Rate Error" error="Must be between 4.0000 and 8.0000" sqref="S24:S27" xr:uid="{E3F70F0C-D0B8-4F56-A2A4-A821DFD77ACD}">
      <formula1>4</formula1>
      <formula2>8</formula2>
    </dataValidation>
    <dataValidation type="whole" allowBlank="1" showInputMessage="1" showErrorMessage="1" errorTitle="# Units Error" error="Must be between 1 and 2" sqref="F24" xr:uid="{7DEC84CF-CE7A-437F-836D-CC68831F7841}">
      <formula1>1</formula1>
      <formula2>2</formula2>
    </dataValidation>
    <dataValidation type="decimal" errorStyle="warning" allowBlank="1" showInputMessage="1" showErrorMessage="1" errorTitle="Use Rate Error" error="Must be between 1.3000 and 4.0000" sqref="S20" xr:uid="{BF8744CE-8280-4218-8746-0FCFF4C78773}">
      <formula1>1.3</formula1>
      <formula2>4</formula2>
    </dataValidation>
    <dataValidation type="whole" allowBlank="1" showInputMessage="1" showErrorMessage="1" errorTitle="# Units Error" error="Must be greater than 1." sqref="F20:F22 F50 F46 F36 F53:F63" xr:uid="{9CDC1CD1-83F6-4C4A-A91B-750E1E0CF46F}">
      <formula1>1</formula1>
      <formula2>9999999</formula2>
    </dataValidation>
    <dataValidation type="whole" allowBlank="1" showInputMessage="1" showErrorMessage="1" errorTitle="# Units Error" error="Must be greater than 1." sqref="F23 F28:F30 F49" xr:uid="{00A07C0E-DDCA-4B5A-87D2-FBF695A8D5A9}">
      <formula1>1</formula1>
      <formula2>999999</formula2>
    </dataValidation>
    <dataValidation type="whole" allowBlank="1" showInputMessage="1" showErrorMessage="1" errorTitle="# Units Error" error="Must be 8 or fewer." sqref="F26" xr:uid="{E9AD8881-8327-40DA-A9E1-17702B6E77D4}">
      <formula1>0</formula1>
      <formula2>8</formula2>
    </dataValidation>
    <dataValidation type="whole" allowBlank="1" showInputMessage="1" showErrorMessage="1" errorTitle="# Units Error" error="Must be 9 or greater." sqref="F27" xr:uid="{930EF682-1B90-46B0-A3F8-855E30C31153}">
      <formula1>9</formula1>
      <formula2>9999999</formula2>
    </dataValidation>
    <dataValidation type="decimal" errorStyle="warning" allowBlank="1" showInputMessage="1" showErrorMessage="1" errorTitle="Use Rate Error" error="Must be between 0.1760 and 0.3520" sqref="S63" xr:uid="{5207803C-B67B-48F1-8ECF-4FB31B97C6BC}">
      <formula1>0.176</formula1>
      <formula2>0.352</formula2>
    </dataValidation>
    <dataValidation type="whole" allowBlank="1" showInputMessage="1" showErrorMessage="1" errorTitle="# Units Error" error="Must be greater than 5" sqref="F48" xr:uid="{9AB8E917-88F5-413F-BA3B-76CE486EF393}">
      <formula1>6</formula1>
      <formula2>999999</formula2>
    </dataValidation>
    <dataValidation type="whole" allowBlank="1" showInputMessage="1" showErrorMessage="1" errorTitle="# Units Error" error="Must be between 1 and 11" sqref="F38" xr:uid="{6154BCB3-12E8-483F-AC74-D6EA97237F92}">
      <formula1>1</formula1>
      <formula2>11</formula2>
    </dataValidation>
    <dataValidation type="whole" allowBlank="1" showInputMessage="1" showErrorMessage="1" errorTitle="# Units Error" error="Must be between 12 and 39" sqref="F39" xr:uid="{EA6A3E4E-76D6-47FA-B562-4334D8BAC6D0}">
      <formula1>12</formula1>
      <formula2>39</formula2>
    </dataValidation>
    <dataValidation type="whole" allowBlank="1" showInputMessage="1" showErrorMessage="1" errorTitle="# Units Error" error="Must be greater than 40" sqref="F40" xr:uid="{9F72E136-7709-443B-B3BB-E68F2B99E83E}">
      <formula1>40</formula1>
      <formula2>9999999</formula2>
    </dataValidation>
  </dataValidations>
  <pageMargins left="0.75" right="0.75" top="0.75" bottom="0.5" header="0.5" footer="0.75"/>
  <pageSetup scale="60" orientation="landscape" horizontalDpi="1200" verticalDpi="1200" r:id="rId1"/>
  <customProperties>
    <customPr name="IbpWorksheetKeyString_GUID" r:id="rId2"/>
  </customProperties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2B7FE97-88E8-4F7C-B1FA-FECF8C97754E}">
          <x14:formula1>
            <xm:f>Rebates!$B$25:$B$26</xm:f>
          </x14:formula1>
          <xm:sqref>M71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F76625-3F39-4416-A4F0-7E89DF0CEA10}">
  <sheetPr codeName="Sheet2"/>
  <dimension ref="A1:F116"/>
  <sheetViews>
    <sheetView zoomScaleNormal="100" workbookViewId="0">
      <selection activeCell="I13" sqref="I13"/>
    </sheetView>
  </sheetViews>
  <sheetFormatPr defaultRowHeight="15" x14ac:dyDescent="0.25"/>
  <cols>
    <col min="1" max="1" width="31.5703125" customWidth="1"/>
    <col min="2" max="2" width="13.140625" customWidth="1"/>
    <col min="3" max="3" width="7.140625" style="79" customWidth="1"/>
    <col min="4" max="4" width="10.42578125" customWidth="1"/>
    <col min="5" max="5" width="12.5703125" customWidth="1"/>
    <col min="6" max="6" width="12.85546875" customWidth="1"/>
  </cols>
  <sheetData>
    <row r="1" spans="1:6" ht="15.75" thickBot="1" x14ac:dyDescent="0.3">
      <c r="A1" s="122"/>
      <c r="B1" s="122"/>
      <c r="C1" s="122"/>
      <c r="D1" s="122"/>
      <c r="E1" s="123"/>
      <c r="F1" s="120"/>
    </row>
    <row r="2" spans="1:6" ht="21.75" thickBot="1" x14ac:dyDescent="0.3">
      <c r="A2" s="425" t="str">
        <f>'FALL-CALCULATOR'!B4</f>
        <v>NAME YOUR DRAFT ORDER HERE</v>
      </c>
      <c r="B2" s="426"/>
      <c r="C2" s="426"/>
      <c r="D2" s="427"/>
      <c r="E2" s="123"/>
      <c r="F2" s="120"/>
    </row>
    <row r="3" spans="1:6" x14ac:dyDescent="0.25">
      <c r="A3" s="175" t="s">
        <v>9</v>
      </c>
      <c r="B3" s="204"/>
      <c r="C3" s="176"/>
      <c r="D3" s="177"/>
      <c r="E3" s="123"/>
      <c r="F3" s="120"/>
    </row>
    <row r="4" spans="1:6" x14ac:dyDescent="0.25">
      <c r="A4" s="171" t="s">
        <v>219</v>
      </c>
      <c r="B4" s="205">
        <f>'FALL-CALCULATOR'!D7</f>
        <v>0</v>
      </c>
      <c r="C4" s="129"/>
      <c r="D4" s="130"/>
      <c r="E4" s="123"/>
      <c r="F4" s="120"/>
    </row>
    <row r="5" spans="1:6" x14ac:dyDescent="0.25">
      <c r="A5" s="172" t="s">
        <v>12</v>
      </c>
      <c r="B5" s="205">
        <f>'FALL-CALCULATOR'!D8</f>
        <v>0</v>
      </c>
      <c r="C5" s="129"/>
      <c r="D5" s="130"/>
      <c r="E5" s="123"/>
      <c r="F5" s="120"/>
    </row>
    <row r="6" spans="1:6" x14ac:dyDescent="0.25">
      <c r="A6" s="173" t="s">
        <v>13</v>
      </c>
      <c r="B6" s="206">
        <f ca="1">'FALL-CALCULATOR'!D9</f>
        <v>44848</v>
      </c>
      <c r="C6" s="129"/>
      <c r="D6" s="130"/>
      <c r="E6" s="123"/>
      <c r="F6" s="120"/>
    </row>
    <row r="7" spans="1:6" ht="15.75" thickBot="1" x14ac:dyDescent="0.3">
      <c r="A7" s="174" t="s">
        <v>14</v>
      </c>
      <c r="B7" s="207">
        <f>'FALL-CALCULATOR'!D10</f>
        <v>0</v>
      </c>
      <c r="C7" s="131"/>
      <c r="D7" s="132"/>
      <c r="E7" s="123"/>
      <c r="F7" s="120"/>
    </row>
    <row r="8" spans="1:6" x14ac:dyDescent="0.25">
      <c r="A8" s="120" t="s">
        <v>220</v>
      </c>
      <c r="B8" s="120"/>
      <c r="C8" s="121"/>
      <c r="D8" s="120"/>
      <c r="E8" s="120"/>
      <c r="F8" s="120"/>
    </row>
    <row r="9" spans="1:6" x14ac:dyDescent="0.25">
      <c r="A9" s="152" t="s">
        <v>33</v>
      </c>
      <c r="B9" s="13"/>
      <c r="C9" s="118"/>
      <c r="D9" s="13"/>
      <c r="E9" s="13"/>
      <c r="F9" s="13"/>
    </row>
    <row r="10" spans="1:6" x14ac:dyDescent="0.25">
      <c r="A10" s="398" t="s">
        <v>39</v>
      </c>
      <c r="B10" s="398" t="s">
        <v>16</v>
      </c>
      <c r="C10" s="428" t="s">
        <v>17</v>
      </c>
      <c r="D10" s="353" t="s">
        <v>221</v>
      </c>
      <c r="E10" s="353" t="s">
        <v>43</v>
      </c>
      <c r="F10" s="353" t="s">
        <v>154</v>
      </c>
    </row>
    <row r="11" spans="1:6" x14ac:dyDescent="0.25">
      <c r="A11" s="393"/>
      <c r="B11" s="393"/>
      <c r="C11" s="429"/>
      <c r="D11" s="354"/>
      <c r="E11" s="354"/>
      <c r="F11" s="354"/>
    </row>
    <row r="12" spans="1:6" x14ac:dyDescent="0.25">
      <c r="A12" s="393"/>
      <c r="B12" s="393"/>
      <c r="C12" s="429"/>
      <c r="D12" s="354"/>
      <c r="E12" s="354"/>
      <c r="F12" s="354"/>
    </row>
    <row r="13" spans="1:6" x14ac:dyDescent="0.25">
      <c r="A13" s="211" t="s">
        <v>67</v>
      </c>
      <c r="B13" s="20" t="s">
        <v>68</v>
      </c>
      <c r="C13" s="136">
        <f>'FALL-CALCULATOR'!F19</f>
        <v>0</v>
      </c>
      <c r="D13" s="103">
        <v>373.5</v>
      </c>
      <c r="E13" s="22" t="str">
        <f>'FALL-CALCULATOR'!J19</f>
        <v/>
      </c>
      <c r="F13" s="22" t="str">
        <f>'FALL-CALCULATOR'!P19</f>
        <v/>
      </c>
    </row>
    <row r="14" spans="1:6" x14ac:dyDescent="0.25">
      <c r="A14" s="20" t="s">
        <v>70</v>
      </c>
      <c r="B14" s="20" t="s">
        <v>71</v>
      </c>
      <c r="C14" s="136">
        <f>'FALL-CALCULATOR'!F20</f>
        <v>0</v>
      </c>
      <c r="D14" s="103">
        <v>1114.3800000000001</v>
      </c>
      <c r="E14" s="22" t="str">
        <f>'FALL-CALCULATOR'!J20</f>
        <v/>
      </c>
      <c r="F14" s="22" t="str">
        <f>'FALL-CALCULATOR'!P20</f>
        <v/>
      </c>
    </row>
    <row r="15" spans="1:6" x14ac:dyDescent="0.25">
      <c r="A15" s="20" t="s">
        <v>73</v>
      </c>
      <c r="B15" s="20" t="s">
        <v>71</v>
      </c>
      <c r="C15" s="136">
        <f>'FALL-CALCULATOR'!F21</f>
        <v>0</v>
      </c>
      <c r="D15" s="103">
        <v>1526.25</v>
      </c>
      <c r="E15" s="22" t="str">
        <f>'FALL-CALCULATOR'!J21</f>
        <v/>
      </c>
      <c r="F15" s="22" t="str">
        <f>'FALL-CALCULATOR'!P21</f>
        <v/>
      </c>
    </row>
    <row r="16" spans="1:6" x14ac:dyDescent="0.25">
      <c r="A16" s="20" t="s">
        <v>74</v>
      </c>
      <c r="B16" s="20" t="s">
        <v>75</v>
      </c>
      <c r="C16" s="136">
        <f>'FALL-CALCULATOR'!F22</f>
        <v>0</v>
      </c>
      <c r="D16" s="103">
        <v>117.5</v>
      </c>
      <c r="E16" s="22" t="str">
        <f>'FALL-CALCULATOR'!J22</f>
        <v/>
      </c>
      <c r="F16" s="22" t="str">
        <f>'FALL-CALCULATOR'!P22</f>
        <v/>
      </c>
    </row>
    <row r="17" spans="1:6" x14ac:dyDescent="0.25">
      <c r="A17" s="20" t="s">
        <v>78</v>
      </c>
      <c r="B17" s="20" t="s">
        <v>75</v>
      </c>
      <c r="C17" s="136">
        <f>'FALL-CALCULATOR'!F23</f>
        <v>0</v>
      </c>
      <c r="D17" s="103">
        <v>155.5</v>
      </c>
      <c r="E17" s="22" t="str">
        <f>'FALL-CALCULATOR'!J23</f>
        <v/>
      </c>
      <c r="F17" s="22" t="str">
        <f>'FALL-CALCULATOR'!P23</f>
        <v/>
      </c>
    </row>
    <row r="18" spans="1:6" x14ac:dyDescent="0.25">
      <c r="A18" s="20" t="s">
        <v>81</v>
      </c>
      <c r="B18" s="20" t="s">
        <v>82</v>
      </c>
      <c r="C18" s="136">
        <f>'FALL-CALCULATOR'!F24</f>
        <v>0</v>
      </c>
      <c r="D18" s="103">
        <v>1439.75</v>
      </c>
      <c r="E18" s="22" t="str">
        <f>'FALL-CALCULATOR'!J24</f>
        <v/>
      </c>
      <c r="F18" s="22" t="str">
        <f>'FALL-CALCULATOR'!P24</f>
        <v/>
      </c>
    </row>
    <row r="19" spans="1:6" x14ac:dyDescent="0.25">
      <c r="A19" s="20" t="s">
        <v>86</v>
      </c>
      <c r="B19" s="20" t="s">
        <v>82</v>
      </c>
      <c r="C19" s="136">
        <f>'FALL-CALCULATOR'!F25</f>
        <v>0</v>
      </c>
      <c r="D19" s="103">
        <v>1354</v>
      </c>
      <c r="E19" s="22" t="str">
        <f>'FALL-CALCULATOR'!J25</f>
        <v/>
      </c>
      <c r="F19" s="22" t="str">
        <f>'FALL-CALCULATOR'!P25</f>
        <v/>
      </c>
    </row>
    <row r="20" spans="1:6" x14ac:dyDescent="0.25">
      <c r="A20" s="95" t="s">
        <v>90</v>
      </c>
      <c r="B20" s="20" t="s">
        <v>91</v>
      </c>
      <c r="C20" s="136">
        <f>'FALL-CALCULATOR'!F26</f>
        <v>0</v>
      </c>
      <c r="D20" s="103">
        <v>359.94</v>
      </c>
      <c r="E20" s="22" t="str">
        <f>'FALL-CALCULATOR'!J26</f>
        <v/>
      </c>
      <c r="F20" s="22" t="str">
        <f>'FALL-CALCULATOR'!P26</f>
        <v/>
      </c>
    </row>
    <row r="21" spans="1:6" x14ac:dyDescent="0.25">
      <c r="A21" s="95" t="s">
        <v>92</v>
      </c>
      <c r="B21" s="20" t="s">
        <v>91</v>
      </c>
      <c r="C21" s="136">
        <f>'FALL-CALCULATOR'!F27</f>
        <v>0</v>
      </c>
      <c r="D21" s="103">
        <v>338.5</v>
      </c>
      <c r="E21" s="22" t="str">
        <f>'FALL-CALCULATOR'!J27</f>
        <v/>
      </c>
      <c r="F21" s="22" t="str">
        <f>'FALL-CALCULATOR'!P27</f>
        <v/>
      </c>
    </row>
    <row r="22" spans="1:6" x14ac:dyDescent="0.25">
      <c r="A22" s="20" t="s">
        <v>95</v>
      </c>
      <c r="B22" s="20" t="s">
        <v>23</v>
      </c>
      <c r="C22" s="136">
        <f>'FALL-CALCULATOR'!F28</f>
        <v>0</v>
      </c>
      <c r="D22" s="103">
        <v>673.2</v>
      </c>
      <c r="E22" s="22" t="str">
        <f>'FALL-CALCULATOR'!J28</f>
        <v/>
      </c>
      <c r="F22" s="22" t="str">
        <f>'FALL-CALCULATOR'!P28</f>
        <v/>
      </c>
    </row>
    <row r="23" spans="1:6" x14ac:dyDescent="0.25">
      <c r="A23" s="20" t="s">
        <v>96</v>
      </c>
      <c r="B23" s="20" t="s">
        <v>71</v>
      </c>
      <c r="C23" s="136">
        <f>'FALL-CALCULATOR'!F29</f>
        <v>0</v>
      </c>
      <c r="D23" s="103">
        <v>318.75</v>
      </c>
      <c r="E23" s="22" t="str">
        <f>'FALL-CALCULATOR'!J29</f>
        <v/>
      </c>
      <c r="F23" s="22" t="str">
        <f>'FALL-CALCULATOR'!P29</f>
        <v/>
      </c>
    </row>
    <row r="24" spans="1:6" x14ac:dyDescent="0.25">
      <c r="A24" s="20" t="s">
        <v>98</v>
      </c>
      <c r="B24" s="20" t="s">
        <v>71</v>
      </c>
      <c r="C24" s="136">
        <f>'FALL-CALCULATOR'!F30</f>
        <v>0</v>
      </c>
      <c r="D24" s="103">
        <v>167.25</v>
      </c>
      <c r="E24" s="22" t="str">
        <f>'FALL-CALCULATOR'!J30</f>
        <v/>
      </c>
      <c r="F24" s="22" t="str">
        <f>'FALL-CALCULATOR'!P30</f>
        <v/>
      </c>
    </row>
    <row r="25" spans="1:6" x14ac:dyDescent="0.25">
      <c r="A25" s="20" t="s">
        <v>101</v>
      </c>
      <c r="B25" s="20" t="s">
        <v>102</v>
      </c>
      <c r="C25" s="136">
        <f>'FALL-CALCULATOR'!F31</f>
        <v>0</v>
      </c>
      <c r="D25" s="103">
        <v>1778</v>
      </c>
      <c r="E25" s="22" t="str">
        <f>'FALL-CALCULATOR'!J31</f>
        <v/>
      </c>
      <c r="F25" s="22" t="str">
        <f>'FALL-CALCULATOR'!P31</f>
        <v/>
      </c>
    </row>
    <row r="26" spans="1:6" x14ac:dyDescent="0.25">
      <c r="A26" s="20" t="s">
        <v>103</v>
      </c>
      <c r="B26" s="20" t="s">
        <v>102</v>
      </c>
      <c r="C26" s="136">
        <f>'FALL-CALCULATOR'!F32</f>
        <v>0</v>
      </c>
      <c r="D26" s="103">
        <v>1601</v>
      </c>
      <c r="E26" s="22" t="str">
        <f>'FALL-CALCULATOR'!J32</f>
        <v/>
      </c>
      <c r="F26" s="22" t="str">
        <f>'FALL-CALCULATOR'!P32</f>
        <v/>
      </c>
    </row>
    <row r="27" spans="1:6" x14ac:dyDescent="0.25">
      <c r="A27" s="20" t="s">
        <v>107</v>
      </c>
      <c r="B27" s="20" t="s">
        <v>71</v>
      </c>
      <c r="C27" s="136">
        <f>'FALL-CALCULATOR'!F33</f>
        <v>0</v>
      </c>
      <c r="D27" s="142">
        <v>508.75</v>
      </c>
      <c r="E27" s="22" t="str">
        <f>'FALL-CALCULATOR'!J33</f>
        <v/>
      </c>
      <c r="F27" s="22" t="str">
        <f>'FALL-CALCULATOR'!P33</f>
        <v/>
      </c>
    </row>
    <row r="28" spans="1:6" x14ac:dyDescent="0.25">
      <c r="A28" s="20" t="s">
        <v>113</v>
      </c>
      <c r="B28" s="20" t="s">
        <v>71</v>
      </c>
      <c r="C28" s="136">
        <f>'FALL-CALCULATOR'!F34</f>
        <v>0</v>
      </c>
      <c r="D28" s="103">
        <v>447.5</v>
      </c>
      <c r="E28" s="22" t="str">
        <f>'FALL-CALCULATOR'!J34</f>
        <v/>
      </c>
      <c r="F28" s="22" t="str">
        <f>'FALL-CALCULATOR'!P34</f>
        <v/>
      </c>
    </row>
    <row r="29" spans="1:6" x14ac:dyDescent="0.25">
      <c r="A29" s="20" t="s">
        <v>114</v>
      </c>
      <c r="B29" s="20" t="s">
        <v>115</v>
      </c>
      <c r="C29" s="136">
        <f>'FALL-CALCULATOR'!F35</f>
        <v>0</v>
      </c>
      <c r="D29" s="142">
        <v>1570.8</v>
      </c>
      <c r="E29" s="22" t="str">
        <f>'FALL-CALCULATOR'!J35</f>
        <v/>
      </c>
      <c r="F29" s="22" t="str">
        <f>'FALL-CALCULATOR'!P35</f>
        <v/>
      </c>
    </row>
    <row r="30" spans="1:6" x14ac:dyDescent="0.25">
      <c r="A30" s="20" t="s">
        <v>118</v>
      </c>
      <c r="B30" s="20" t="s">
        <v>71</v>
      </c>
      <c r="C30" s="136">
        <f>'FALL-CALCULATOR'!F36</f>
        <v>0</v>
      </c>
      <c r="D30" s="103">
        <v>444.75</v>
      </c>
      <c r="E30" s="22" t="str">
        <f>'FALL-CALCULATOR'!J36</f>
        <v/>
      </c>
      <c r="F30" s="22" t="str">
        <f>'FALL-CALCULATOR'!P36</f>
        <v/>
      </c>
    </row>
    <row r="31" spans="1:6" x14ac:dyDescent="0.25">
      <c r="A31" s="20" t="s">
        <v>122</v>
      </c>
      <c r="B31" s="20" t="s">
        <v>123</v>
      </c>
      <c r="C31" s="136">
        <f>'FALL-CALCULATOR'!F37</f>
        <v>0</v>
      </c>
      <c r="D31" s="103">
        <v>674.25</v>
      </c>
      <c r="E31" s="22" t="str">
        <f>'FALL-CALCULATOR'!J37</f>
        <v/>
      </c>
      <c r="F31" s="22" t="str">
        <f>'FALL-CALCULATOR'!P37</f>
        <v/>
      </c>
    </row>
    <row r="32" spans="1:6" x14ac:dyDescent="0.25">
      <c r="A32" s="20" t="s">
        <v>222</v>
      </c>
      <c r="B32" s="20" t="s">
        <v>71</v>
      </c>
      <c r="C32" s="136">
        <f>'FALL-CALCULATOR'!F38</f>
        <v>0</v>
      </c>
      <c r="D32" s="103">
        <v>491.65</v>
      </c>
      <c r="E32" s="22" t="str">
        <f>'FALL-CALCULATOR'!J38</f>
        <v/>
      </c>
      <c r="F32" s="22" t="str">
        <f>'FALL-CALCULATOR'!P38</f>
        <v/>
      </c>
    </row>
    <row r="33" spans="1:6" x14ac:dyDescent="0.25">
      <c r="A33" s="20" t="s">
        <v>222</v>
      </c>
      <c r="B33" s="20" t="s">
        <v>71</v>
      </c>
      <c r="C33" s="136">
        <f>'FALL-CALCULATOR'!F39</f>
        <v>0</v>
      </c>
      <c r="D33" s="103">
        <v>403.5</v>
      </c>
      <c r="E33" s="22" t="str">
        <f>'FALL-CALCULATOR'!J39</f>
        <v/>
      </c>
      <c r="F33" s="22" t="str">
        <f>'FALL-CALCULATOR'!P39</f>
        <v/>
      </c>
    </row>
    <row r="34" spans="1:6" x14ac:dyDescent="0.25">
      <c r="A34" s="20" t="s">
        <v>222</v>
      </c>
      <c r="B34" s="20" t="s">
        <v>71</v>
      </c>
      <c r="C34" s="136">
        <f>'FALL-CALCULATOR'!F40</f>
        <v>0</v>
      </c>
      <c r="D34" s="103">
        <v>350</v>
      </c>
      <c r="E34" s="22" t="str">
        <f>'FALL-CALCULATOR'!J40</f>
        <v/>
      </c>
      <c r="F34" s="22" t="str">
        <f>'FALL-CALCULATOR'!P40</f>
        <v/>
      </c>
    </row>
    <row r="35" spans="1:6" x14ac:dyDescent="0.25">
      <c r="A35" s="20" t="s">
        <v>128</v>
      </c>
      <c r="B35" s="20" t="s">
        <v>129</v>
      </c>
      <c r="C35" s="136">
        <f>'FALL-CALCULATOR'!F41</f>
        <v>0</v>
      </c>
      <c r="D35" s="103">
        <v>190.25</v>
      </c>
      <c r="E35" s="22" t="str">
        <f>'FALL-CALCULATOR'!J41</f>
        <v/>
      </c>
      <c r="F35" s="22" t="str">
        <f>'FALL-CALCULATOR'!P41</f>
        <v/>
      </c>
    </row>
    <row r="36" spans="1:6" x14ac:dyDescent="0.25">
      <c r="A36" s="20" t="s">
        <v>133</v>
      </c>
      <c r="B36" s="20" t="s">
        <v>129</v>
      </c>
      <c r="C36" s="136">
        <f>'FALL-CALCULATOR'!F42</f>
        <v>0</v>
      </c>
      <c r="D36" s="103">
        <v>174</v>
      </c>
      <c r="E36" s="22" t="str">
        <f>'FALL-CALCULATOR'!J42</f>
        <v/>
      </c>
      <c r="F36" s="22" t="str">
        <f>'FALL-CALCULATOR'!P42</f>
        <v/>
      </c>
    </row>
    <row r="37" spans="1:6" x14ac:dyDescent="0.25">
      <c r="A37" s="95" t="s">
        <v>136</v>
      </c>
      <c r="B37" s="95" t="s">
        <v>84</v>
      </c>
      <c r="C37" s="136">
        <f>'FALL-CALCULATOR'!F43</f>
        <v>0</v>
      </c>
      <c r="D37" s="103">
        <v>1898.25</v>
      </c>
      <c r="E37" s="22" t="str">
        <f>'FALL-CALCULATOR'!J43</f>
        <v/>
      </c>
      <c r="F37" s="22" t="str">
        <f>'FALL-CALCULATOR'!P43</f>
        <v/>
      </c>
    </row>
    <row r="38" spans="1:6" x14ac:dyDescent="0.25">
      <c r="A38" s="95" t="s">
        <v>137</v>
      </c>
      <c r="B38" s="95" t="s">
        <v>84</v>
      </c>
      <c r="C38" s="136">
        <f>'FALL-CALCULATOR'!F44</f>
        <v>0</v>
      </c>
      <c r="D38" s="103">
        <v>1629.4</v>
      </c>
      <c r="E38" s="22" t="str">
        <f>'FALL-CALCULATOR'!J44</f>
        <v/>
      </c>
      <c r="F38" s="22" t="str">
        <f>'FALL-CALCULATOR'!P44</f>
        <v/>
      </c>
    </row>
    <row r="39" spans="1:6" x14ac:dyDescent="0.25">
      <c r="A39" s="95" t="s">
        <v>138</v>
      </c>
      <c r="B39" s="95" t="s">
        <v>84</v>
      </c>
      <c r="C39" s="136">
        <f>'FALL-CALCULATOR'!F45</f>
        <v>0</v>
      </c>
      <c r="D39" s="103">
        <v>1463.7</v>
      </c>
      <c r="E39" s="22" t="str">
        <f>'FALL-CALCULATOR'!J45</f>
        <v/>
      </c>
      <c r="F39" s="22" t="str">
        <f>'FALL-CALCULATOR'!P45</f>
        <v/>
      </c>
    </row>
    <row r="40" spans="1:6" x14ac:dyDescent="0.25">
      <c r="A40" s="20" t="s">
        <v>141</v>
      </c>
      <c r="B40" s="20" t="s">
        <v>142</v>
      </c>
      <c r="C40" s="136">
        <f>'FALL-CALCULATOR'!F46</f>
        <v>0</v>
      </c>
      <c r="D40" s="103">
        <v>110.5</v>
      </c>
      <c r="E40" s="22" t="str">
        <f>'FALL-CALCULATOR'!J46</f>
        <v/>
      </c>
      <c r="F40" s="22" t="str">
        <f>'FALL-CALCULATOR'!P46</f>
        <v/>
      </c>
    </row>
    <row r="41" spans="1:6" x14ac:dyDescent="0.25">
      <c r="A41" s="20" t="s">
        <v>144</v>
      </c>
      <c r="B41" s="20" t="s">
        <v>71</v>
      </c>
      <c r="C41" s="136">
        <f>'FALL-CALCULATOR'!F47</f>
        <v>0</v>
      </c>
      <c r="D41" s="103">
        <v>937</v>
      </c>
      <c r="E41" s="22" t="str">
        <f>'FALL-CALCULATOR'!J47</f>
        <v/>
      </c>
      <c r="F41" s="22" t="str">
        <f>'FALL-CALCULATOR'!P47</f>
        <v/>
      </c>
    </row>
    <row r="42" spans="1:6" x14ac:dyDescent="0.25">
      <c r="A42" s="20" t="s">
        <v>145</v>
      </c>
      <c r="B42" s="20" t="s">
        <v>71</v>
      </c>
      <c r="C42" s="136">
        <f>'FALL-CALCULATOR'!F48</f>
        <v>0</v>
      </c>
      <c r="D42" s="103">
        <v>833.75</v>
      </c>
      <c r="E42" s="22" t="str">
        <f>'FALL-CALCULATOR'!J48</f>
        <v/>
      </c>
      <c r="F42" s="22" t="str">
        <f>'FALL-CALCULATOR'!P48</f>
        <v/>
      </c>
    </row>
    <row r="43" spans="1:6" x14ac:dyDescent="0.25">
      <c r="A43" s="20" t="s">
        <v>147</v>
      </c>
      <c r="B43" s="20" t="s">
        <v>26</v>
      </c>
      <c r="C43" s="136">
        <f>'FALL-CALCULATOR'!F49</f>
        <v>0</v>
      </c>
      <c r="D43" s="103">
        <v>457</v>
      </c>
      <c r="E43" s="22" t="str">
        <f>'FALL-CALCULATOR'!J49</f>
        <v/>
      </c>
      <c r="F43" s="22" t="str">
        <f>'FALL-CALCULATOR'!P49</f>
        <v/>
      </c>
    </row>
    <row r="44" spans="1:6" x14ac:dyDescent="0.25">
      <c r="A44" s="20" t="s">
        <v>149</v>
      </c>
      <c r="B44" s="20" t="s">
        <v>88</v>
      </c>
      <c r="C44" s="136">
        <f>'FALL-CALCULATOR'!F50</f>
        <v>0</v>
      </c>
      <c r="D44" s="103">
        <v>389.7</v>
      </c>
      <c r="E44" s="22" t="str">
        <f>'FALL-CALCULATOR'!J50</f>
        <v/>
      </c>
      <c r="F44" s="22" t="str">
        <f>'FALL-CALCULATOR'!P50</f>
        <v/>
      </c>
    </row>
    <row r="48" spans="1:6" ht="44.45" customHeight="1" x14ac:dyDescent="0.25">
      <c r="A48" s="300" t="s">
        <v>223</v>
      </c>
    </row>
    <row r="49" spans="1:6" x14ac:dyDescent="0.25">
      <c r="A49" s="152" t="s">
        <v>224</v>
      </c>
      <c r="B49" s="31"/>
      <c r="C49" s="31"/>
      <c r="D49" s="31"/>
      <c r="E49" s="31"/>
      <c r="F49" s="31"/>
    </row>
    <row r="50" spans="1:6" x14ac:dyDescent="0.25">
      <c r="A50" s="146" t="s">
        <v>39</v>
      </c>
      <c r="B50" s="146" t="s">
        <v>16</v>
      </c>
      <c r="C50" s="214" t="s">
        <v>17</v>
      </c>
      <c r="D50" s="148" t="s">
        <v>221</v>
      </c>
      <c r="E50" s="148" t="s">
        <v>43</v>
      </c>
      <c r="F50" s="148" t="s">
        <v>154</v>
      </c>
    </row>
    <row r="51" spans="1:6" x14ac:dyDescent="0.25">
      <c r="A51" s="20" t="s">
        <v>157</v>
      </c>
      <c r="B51" s="20" t="s">
        <v>71</v>
      </c>
      <c r="C51" s="136">
        <f>'FALL-CALCULATOR'!F53</f>
        <v>0</v>
      </c>
      <c r="D51" s="103">
        <f>'FALL-CALCULATOR'!I53</f>
        <v>0</v>
      </c>
      <c r="E51" s="22" t="str">
        <f>'FALL-CALCULATOR'!J53</f>
        <v/>
      </c>
      <c r="F51" s="22" t="str">
        <f>'FALL-CALCULATOR'!P53</f>
        <v/>
      </c>
    </row>
    <row r="52" spans="1:6" x14ac:dyDescent="0.25">
      <c r="A52" s="20" t="s">
        <v>161</v>
      </c>
      <c r="B52" s="20" t="s">
        <v>84</v>
      </c>
      <c r="C52" s="136">
        <f>'FALL-CALCULATOR'!F54</f>
        <v>0</v>
      </c>
      <c r="D52" s="103">
        <f>'FALL-CALCULATOR'!I54</f>
        <v>0</v>
      </c>
      <c r="E52" s="22" t="str">
        <f>'FALL-CALCULATOR'!J54</f>
        <v/>
      </c>
      <c r="F52" s="22" t="str">
        <f>'FALL-CALCULATOR'!P54</f>
        <v/>
      </c>
    </row>
    <row r="53" spans="1:6" x14ac:dyDescent="0.25">
      <c r="A53" s="20" t="s">
        <v>164</v>
      </c>
      <c r="B53" s="20" t="s">
        <v>165</v>
      </c>
      <c r="C53" s="136">
        <f>'FALL-CALCULATOR'!F55</f>
        <v>0</v>
      </c>
      <c r="D53" s="103">
        <f>'FALL-CALCULATOR'!I55</f>
        <v>0</v>
      </c>
      <c r="E53" s="22" t="str">
        <f>'FALL-CALCULATOR'!J55</f>
        <v/>
      </c>
      <c r="F53" s="22" t="str">
        <f>'FALL-CALCULATOR'!P55</f>
        <v/>
      </c>
    </row>
    <row r="54" spans="1:6" x14ac:dyDescent="0.25">
      <c r="A54" s="20" t="s">
        <v>168</v>
      </c>
      <c r="B54" s="20" t="s">
        <v>142</v>
      </c>
      <c r="C54" s="136">
        <f>'FALL-CALCULATOR'!F56</f>
        <v>0</v>
      </c>
      <c r="D54" s="103">
        <f>'FALL-CALCULATOR'!I56</f>
        <v>0</v>
      </c>
      <c r="E54" s="22" t="str">
        <f>'FALL-CALCULATOR'!J56</f>
        <v/>
      </c>
      <c r="F54" s="22" t="str">
        <f>'FALL-CALCULATOR'!P56</f>
        <v/>
      </c>
    </row>
    <row r="55" spans="1:6" x14ac:dyDescent="0.25">
      <c r="A55" s="20" t="s">
        <v>170</v>
      </c>
      <c r="B55" s="20" t="s">
        <v>171</v>
      </c>
      <c r="C55" s="136">
        <f>'FALL-CALCULATOR'!F57</f>
        <v>0</v>
      </c>
      <c r="D55" s="103">
        <f>'FALL-CALCULATOR'!I57</f>
        <v>0</v>
      </c>
      <c r="E55" s="22" t="str">
        <f>'FALL-CALCULATOR'!J57</f>
        <v/>
      </c>
      <c r="F55" s="22" t="str">
        <f>'FALL-CALCULATOR'!P57</f>
        <v/>
      </c>
    </row>
    <row r="56" spans="1:6" x14ac:dyDescent="0.25">
      <c r="A56" s="20" t="s">
        <v>174</v>
      </c>
      <c r="B56" s="20" t="s">
        <v>71</v>
      </c>
      <c r="C56" s="136">
        <f>'FALL-CALCULATOR'!F58</f>
        <v>0</v>
      </c>
      <c r="D56" s="103">
        <f>'FALL-CALCULATOR'!I58</f>
        <v>0</v>
      </c>
      <c r="E56" s="22" t="str">
        <f>'FALL-CALCULATOR'!J58</f>
        <v/>
      </c>
      <c r="F56" s="22" t="str">
        <f>'FALL-CALCULATOR'!P58</f>
        <v/>
      </c>
    </row>
    <row r="57" spans="1:6" x14ac:dyDescent="0.25">
      <c r="A57" s="20" t="s">
        <v>176</v>
      </c>
      <c r="B57" s="20" t="s">
        <v>177</v>
      </c>
      <c r="C57" s="136">
        <f>'FALL-CALCULATOR'!F59</f>
        <v>0</v>
      </c>
      <c r="D57" s="103">
        <f>'FALL-CALCULATOR'!I59</f>
        <v>0</v>
      </c>
      <c r="E57" s="22" t="str">
        <f>'FALL-CALCULATOR'!J59</f>
        <v/>
      </c>
      <c r="F57" s="22" t="str">
        <f>'FALL-CALCULATOR'!P59</f>
        <v/>
      </c>
    </row>
    <row r="58" spans="1:6" x14ac:dyDescent="0.25">
      <c r="A58" s="20" t="s">
        <v>180</v>
      </c>
      <c r="B58" s="20" t="s">
        <v>71</v>
      </c>
      <c r="C58" s="136">
        <f>'FALL-CALCULATOR'!F60</f>
        <v>0</v>
      </c>
      <c r="D58" s="103">
        <f>'FALL-CALCULATOR'!I60</f>
        <v>0</v>
      </c>
      <c r="E58" s="22" t="str">
        <f>'FALL-CALCULATOR'!J60</f>
        <v/>
      </c>
      <c r="F58" s="22" t="str">
        <f>'FALL-CALCULATOR'!P60</f>
        <v/>
      </c>
    </row>
    <row r="59" spans="1:6" x14ac:dyDescent="0.25">
      <c r="A59" s="20" t="s">
        <v>182</v>
      </c>
      <c r="B59" s="20" t="s">
        <v>71</v>
      </c>
      <c r="C59" s="136">
        <f>'FALL-CALCULATOR'!F61</f>
        <v>0</v>
      </c>
      <c r="D59" s="103">
        <f>'FALL-CALCULATOR'!I61</f>
        <v>0</v>
      </c>
      <c r="E59" s="22" t="str">
        <f>'FALL-CALCULATOR'!J61</f>
        <v/>
      </c>
      <c r="F59" s="22" t="str">
        <f>'FALL-CALCULATOR'!P61</f>
        <v/>
      </c>
    </row>
    <row r="60" spans="1:6" ht="15" customHeight="1" x14ac:dyDescent="0.25">
      <c r="A60" s="20" t="s">
        <v>122</v>
      </c>
      <c r="B60" s="20" t="s">
        <v>184</v>
      </c>
      <c r="C60" s="136">
        <f>'FALL-CALCULATOR'!F62</f>
        <v>0</v>
      </c>
      <c r="D60" s="103">
        <f>'FALL-CALCULATOR'!I62</f>
        <v>0</v>
      </c>
      <c r="E60" s="22" t="str">
        <f>'FALL-CALCULATOR'!J62</f>
        <v/>
      </c>
      <c r="F60" s="22" t="str">
        <f>'FALL-CALCULATOR'!P62</f>
        <v/>
      </c>
    </row>
    <row r="61" spans="1:6" x14ac:dyDescent="0.25">
      <c r="A61" s="20" t="s">
        <v>186</v>
      </c>
      <c r="B61" s="20" t="s">
        <v>142</v>
      </c>
      <c r="C61" s="136">
        <f>'FALL-CALCULATOR'!F63</f>
        <v>0</v>
      </c>
      <c r="D61" s="103">
        <f>'FALL-CALCULATOR'!I63</f>
        <v>0</v>
      </c>
      <c r="E61" s="22" t="str">
        <f>'FALL-CALCULATOR'!J63</f>
        <v/>
      </c>
      <c r="F61" s="22" t="str">
        <f>'FALL-CALCULATOR'!P63</f>
        <v/>
      </c>
    </row>
    <row r="62" spans="1:6" x14ac:dyDescent="0.25">
      <c r="A62" s="237"/>
      <c r="B62" s="237"/>
      <c r="C62" s="238"/>
      <c r="D62" s="239"/>
      <c r="E62" s="239"/>
      <c r="F62" s="239"/>
    </row>
    <row r="63" spans="1:6" ht="16.5" thickBot="1" x14ac:dyDescent="0.3">
      <c r="A63" s="227" t="s">
        <v>189</v>
      </c>
      <c r="B63" s="227"/>
      <c r="C63" s="227"/>
      <c r="D63" s="227"/>
      <c r="E63" s="227"/>
    </row>
    <row r="64" spans="1:6" ht="77.25" thickTop="1" x14ac:dyDescent="0.25">
      <c r="A64" s="221" t="s">
        <v>225</v>
      </c>
      <c r="B64" s="221"/>
      <c r="C64" s="221"/>
      <c r="D64" s="221"/>
      <c r="E64" s="221"/>
    </row>
    <row r="65" spans="1:5" x14ac:dyDescent="0.25">
      <c r="A65" s="222"/>
      <c r="B65" s="222"/>
      <c r="C65" s="222"/>
      <c r="D65" s="222"/>
      <c r="E65" s="222"/>
    </row>
    <row r="66" spans="1:5" x14ac:dyDescent="0.25">
      <c r="A66" s="223"/>
      <c r="B66" s="223"/>
      <c r="C66" s="223"/>
      <c r="D66" s="223"/>
      <c r="E66" s="223"/>
    </row>
    <row r="67" spans="1:5" x14ac:dyDescent="0.25">
      <c r="A67" s="215" t="s">
        <v>198</v>
      </c>
      <c r="B67" s="216"/>
      <c r="C67" s="216"/>
      <c r="D67" s="217"/>
      <c r="E67" s="47">
        <f>'FALL-CALCULATOR'!F71</f>
        <v>0</v>
      </c>
    </row>
    <row r="68" spans="1:5" x14ac:dyDescent="0.25">
      <c r="A68" s="224" t="s">
        <v>200</v>
      </c>
      <c r="B68" s="225"/>
      <c r="C68" s="225"/>
      <c r="D68" s="226"/>
      <c r="E68" s="49">
        <f>'FALL-CALCULATOR'!F72</f>
        <v>0</v>
      </c>
    </row>
    <row r="69" spans="1:5" x14ac:dyDescent="0.25">
      <c r="A69" s="215" t="s">
        <v>226</v>
      </c>
      <c r="B69" s="216"/>
      <c r="C69" s="216"/>
      <c r="D69" s="217"/>
      <c r="E69" s="47">
        <f>'FALL-CALCULATOR'!F73</f>
        <v>0</v>
      </c>
    </row>
    <row r="70" spans="1:5" x14ac:dyDescent="0.25">
      <c r="A70" s="224" t="s">
        <v>204</v>
      </c>
      <c r="B70" s="225"/>
      <c r="C70" s="225"/>
      <c r="D70" s="226"/>
      <c r="E70" s="49">
        <f ca="1">'FALL-CALCULATOR'!F75</f>
        <v>0</v>
      </c>
    </row>
    <row r="71" spans="1:5" x14ac:dyDescent="0.25">
      <c r="A71" s="215" t="s">
        <v>227</v>
      </c>
      <c r="B71" s="216"/>
      <c r="C71" s="216"/>
      <c r="D71" s="217"/>
      <c r="E71" s="47">
        <f>'FALL-CALCULATOR'!F76</f>
        <v>0</v>
      </c>
    </row>
    <row r="72" spans="1:5" x14ac:dyDescent="0.25">
      <c r="A72" s="224" t="s">
        <v>207</v>
      </c>
      <c r="B72" s="225"/>
      <c r="C72" s="225"/>
      <c r="D72" s="226"/>
      <c r="E72" s="119">
        <f>'FALL-CALCULATOR'!F77</f>
        <v>0</v>
      </c>
    </row>
    <row r="73" spans="1:5" x14ac:dyDescent="0.25">
      <c r="A73" s="215" t="s">
        <v>208</v>
      </c>
      <c r="B73" s="216"/>
      <c r="C73" s="216"/>
      <c r="D73" s="217"/>
      <c r="E73" s="53">
        <f>'FALL-CALCULATOR'!F79</f>
        <v>0</v>
      </c>
    </row>
    <row r="74" spans="1:5" ht="18.75" x14ac:dyDescent="0.25">
      <c r="A74" s="218" t="str">
        <f ca="1">CONCATENATE("Estimated MBR points to be earned in the Product Cart: ",TEXT(IF(AND(E70 &lt;&gt;"", E70 &gt; 0),E70*100, 0),"#,##0"))</f>
        <v>Estimated MBR points to be earned in the Product Cart: 0</v>
      </c>
      <c r="B74" s="219"/>
      <c r="C74" s="219"/>
      <c r="D74" s="219"/>
      <c r="E74" s="220"/>
    </row>
    <row r="106" ht="8.4499999999999993" customHeight="1" x14ac:dyDescent="0.25"/>
    <row r="107" ht="12" customHeight="1" x14ac:dyDescent="0.25"/>
    <row r="108" ht="9" customHeight="1" x14ac:dyDescent="0.25"/>
    <row r="116" ht="17.45" customHeight="1" x14ac:dyDescent="0.25"/>
  </sheetData>
  <sheetProtection sheet="1" objects="1" scenarios="1"/>
  <mergeCells count="7">
    <mergeCell ref="A2:D2"/>
    <mergeCell ref="E10:E12"/>
    <mergeCell ref="F10:F12"/>
    <mergeCell ref="A10:A12"/>
    <mergeCell ref="B10:B12"/>
    <mergeCell ref="C10:C12"/>
    <mergeCell ref="D10:D12"/>
  </mergeCells>
  <phoneticPr fontId="36" type="noConversion"/>
  <pageMargins left="0.7" right="0.7" top="0.75" bottom="0.75" header="0.3" footer="0.3"/>
  <pageSetup orientation="portrait" r:id="rId1"/>
  <customProperties>
    <customPr name="IbpWorksheetKeyString_GU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57962-9031-4139-B0A4-338EB77CDCC6}">
  <dimension ref="A1"/>
  <sheetViews>
    <sheetView zoomScale="40" zoomScaleNormal="40" workbookViewId="0">
      <selection activeCell="CQ84" sqref="CQ84"/>
    </sheetView>
  </sheetViews>
  <sheetFormatPr defaultRowHeight="15" x14ac:dyDescent="0.25"/>
  <sheetData/>
  <sheetProtection algorithmName="SHA-512" hashValue="RATOSu0nHglv7Wl6JMN78WbMCwz+ZtVBwMw3MPyI+f1Z/3Yeau6hw5DtBkDYVAswV/+fSlcSqRtL/Bx+RELBKQ==" saltValue="VcbBnJ8txGWsstiGDOC9Pg==" spinCount="100000" sheet="1" objects="1" scenarios="1"/>
  <pageMargins left="0.7" right="0.7" top="0.75" bottom="0.75" header="0.3" footer="0.3"/>
  <pageSetup orientation="portrait" r:id="rId1"/>
  <customProperties>
    <customPr name="IbpWorksheetKeyString_GUID" r:id="rId2"/>
  </customPropertie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0F9847-ACE1-4D46-9078-DE74E9B31499}">
  <dimension ref="A1"/>
  <sheetViews>
    <sheetView zoomScale="70" zoomScaleNormal="70" workbookViewId="0">
      <selection activeCell="AF59" sqref="AF59"/>
    </sheetView>
  </sheetViews>
  <sheetFormatPr defaultRowHeight="15" x14ac:dyDescent="0.25"/>
  <sheetData/>
  <sheetProtection algorithmName="SHA-512" hashValue="3QpVMWmDpmEpzlxg1/ZfNu9MJrWZWhYeQ7NsY3IAs3W5gyDXJBFO6EvTKQX3v+E7OJ4/eepT+UvDlBVgy4wG0g==" saltValue="awhYzedQdisvkqPDAlGT+g==" spinCount="100000" sheet="1" objects="1" scenarios="1"/>
  <pageMargins left="0.7" right="0.7" top="0.75" bottom="0.75" header="0.3" footer="0.3"/>
  <pageSetup orientation="portrait" r:id="rId1"/>
  <customProperties>
    <customPr name="IbpWorksheetKeyString_GUID" r:id="rId2"/>
  </customPropertie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95F481-A6B9-4974-B49D-A6D650A82E24}">
  <sheetPr codeName="Sheet3"/>
  <dimension ref="B1:S71"/>
  <sheetViews>
    <sheetView topLeftCell="F4" workbookViewId="0">
      <selection activeCell="G54" sqref="G54"/>
    </sheetView>
  </sheetViews>
  <sheetFormatPr defaultColWidth="9.140625" defaultRowHeight="12.75" x14ac:dyDescent="0.2"/>
  <cols>
    <col min="1" max="1" width="9.140625" style="6" customWidth="1"/>
    <col min="2" max="2" width="15.7109375" style="6" customWidth="1"/>
    <col min="3" max="3" width="25.7109375" style="6" customWidth="1"/>
    <col min="4" max="4" width="15.7109375" style="6" customWidth="1"/>
    <col min="5" max="5" width="9.140625" style="6" customWidth="1"/>
    <col min="6" max="6" width="30.5703125" style="6" customWidth="1"/>
    <col min="7" max="8" width="25.7109375" style="6" customWidth="1"/>
    <col min="9" max="9" width="19.42578125" style="7" customWidth="1"/>
    <col min="10" max="10" width="15.7109375" style="7" customWidth="1"/>
    <col min="11" max="11" width="17.140625" style="9" customWidth="1"/>
    <col min="12" max="12" width="9.140625" style="6" customWidth="1"/>
    <col min="13" max="14" width="15.7109375" style="8" customWidth="1"/>
    <col min="15" max="15" width="15.7109375" style="9" customWidth="1"/>
    <col min="16" max="16" width="15.7109375" style="6" customWidth="1"/>
    <col min="17" max="17" width="9.140625" style="6" customWidth="1"/>
    <col min="18" max="16384" width="9.140625" style="6"/>
  </cols>
  <sheetData>
    <row r="1" spans="2:19" x14ac:dyDescent="0.2">
      <c r="G1" s="6" t="s">
        <v>228</v>
      </c>
    </row>
    <row r="2" spans="2:19" x14ac:dyDescent="0.2">
      <c r="B2" s="432" t="s">
        <v>229</v>
      </c>
      <c r="C2" s="432"/>
      <c r="D2" s="432"/>
      <c r="F2" s="432" t="s">
        <v>230</v>
      </c>
      <c r="G2" s="432"/>
      <c r="H2" s="432"/>
      <c r="I2" s="433"/>
      <c r="J2" s="433"/>
      <c r="K2" s="434"/>
      <c r="M2" s="435" t="s">
        <v>231</v>
      </c>
      <c r="N2" s="435"/>
      <c r="O2" s="434"/>
      <c r="P2" s="432"/>
      <c r="R2" s="66" t="s">
        <v>232</v>
      </c>
    </row>
    <row r="3" spans="2:19" ht="25.5" x14ac:dyDescent="0.2">
      <c r="B3" s="18" t="s">
        <v>233</v>
      </c>
      <c r="C3" s="18" t="s">
        <v>234</v>
      </c>
      <c r="D3" s="18" t="s">
        <v>235</v>
      </c>
      <c r="F3" s="18" t="s">
        <v>38</v>
      </c>
      <c r="G3" s="18" t="s">
        <v>39</v>
      </c>
      <c r="H3" s="18" t="s">
        <v>236</v>
      </c>
      <c r="I3" s="54" t="s">
        <v>237</v>
      </c>
      <c r="J3" s="54" t="s">
        <v>238</v>
      </c>
      <c r="K3" s="55" t="s">
        <v>46</v>
      </c>
      <c r="M3" s="12" t="s">
        <v>237</v>
      </c>
      <c r="N3" s="12" t="s">
        <v>238</v>
      </c>
      <c r="O3" s="55" t="s">
        <v>46</v>
      </c>
      <c r="P3" s="18" t="s">
        <v>239</v>
      </c>
      <c r="R3" s="6" t="s">
        <v>240</v>
      </c>
    </row>
    <row r="4" spans="2:19" x14ac:dyDescent="0.2">
      <c r="B4" s="46">
        <v>10</v>
      </c>
      <c r="C4" s="46" t="s">
        <v>241</v>
      </c>
      <c r="D4" s="46">
        <v>1</v>
      </c>
      <c r="F4" s="46" t="s">
        <v>69</v>
      </c>
      <c r="G4" s="46" t="s">
        <v>70</v>
      </c>
      <c r="H4" s="46" t="s">
        <v>71</v>
      </c>
      <c r="I4" s="56">
        <v>4</v>
      </c>
      <c r="J4" s="56">
        <v>9999999</v>
      </c>
      <c r="K4" s="89">
        <v>5.7431037886537799E-2</v>
      </c>
      <c r="L4" s="58"/>
      <c r="M4" s="67">
        <v>5000</v>
      </c>
      <c r="N4" s="67">
        <v>12999.99</v>
      </c>
      <c r="O4" s="59">
        <v>0.03</v>
      </c>
      <c r="P4" s="57">
        <v>1</v>
      </c>
      <c r="Q4" s="58"/>
      <c r="R4" s="58"/>
      <c r="S4" s="58"/>
    </row>
    <row r="5" spans="2:19" x14ac:dyDescent="0.2">
      <c r="B5" s="46">
        <v>1</v>
      </c>
      <c r="C5" s="46" t="s">
        <v>242</v>
      </c>
      <c r="D5" s="46">
        <v>0</v>
      </c>
      <c r="F5" s="46" t="s">
        <v>106</v>
      </c>
      <c r="G5" s="46" t="s">
        <v>243</v>
      </c>
      <c r="H5" s="46" t="s">
        <v>71</v>
      </c>
      <c r="I5" s="56">
        <v>2</v>
      </c>
      <c r="J5" s="56">
        <v>5</v>
      </c>
      <c r="K5" s="87">
        <v>4.9140049140049137E-2</v>
      </c>
      <c r="L5" s="58"/>
      <c r="M5" s="67">
        <v>13000</v>
      </c>
      <c r="N5" s="67">
        <v>20999</v>
      </c>
      <c r="O5" s="59">
        <v>0.04</v>
      </c>
      <c r="P5" s="57">
        <v>1</v>
      </c>
      <c r="Q5" s="58"/>
      <c r="R5" s="58"/>
      <c r="S5" s="58"/>
    </row>
    <row r="6" spans="2:19" x14ac:dyDescent="0.2">
      <c r="B6" s="46">
        <v>2</v>
      </c>
      <c r="C6" s="46" t="s">
        <v>244</v>
      </c>
      <c r="D6" s="46">
        <v>0</v>
      </c>
      <c r="F6" s="46" t="s">
        <v>106</v>
      </c>
      <c r="G6" s="46" t="s">
        <v>243</v>
      </c>
      <c r="H6" s="46" t="s">
        <v>71</v>
      </c>
      <c r="I6" s="56">
        <v>6</v>
      </c>
      <c r="J6" s="56">
        <v>999999</v>
      </c>
      <c r="K6" s="57">
        <v>5.5865921787709494E-2</v>
      </c>
      <c r="L6" s="58"/>
      <c r="M6" s="67">
        <v>21000</v>
      </c>
      <c r="N6" s="67">
        <v>28999</v>
      </c>
      <c r="O6" s="59">
        <v>0.05</v>
      </c>
      <c r="P6" s="57">
        <v>1</v>
      </c>
      <c r="Q6" s="58"/>
      <c r="R6" s="58"/>
      <c r="S6" s="58"/>
    </row>
    <row r="7" spans="2:19" x14ac:dyDescent="0.2">
      <c r="B7" s="46">
        <v>3</v>
      </c>
      <c r="C7" s="46" t="s">
        <v>245</v>
      </c>
      <c r="D7" s="46">
        <v>0</v>
      </c>
      <c r="F7" s="46" t="s">
        <v>117</v>
      </c>
      <c r="G7" s="46" t="s">
        <v>118</v>
      </c>
      <c r="H7" s="46" t="s">
        <v>71</v>
      </c>
      <c r="I7" s="56">
        <v>1</v>
      </c>
      <c r="J7" s="56">
        <v>9999999</v>
      </c>
      <c r="K7" s="57">
        <v>1.1242270938729624E-2</v>
      </c>
      <c r="L7" s="58"/>
      <c r="M7" s="67">
        <v>29000</v>
      </c>
      <c r="N7" s="67">
        <v>36999</v>
      </c>
      <c r="O7" s="59">
        <v>0.06</v>
      </c>
      <c r="P7" s="57">
        <v>1</v>
      </c>
      <c r="Q7" s="58"/>
      <c r="R7" s="58"/>
      <c r="S7" s="58"/>
    </row>
    <row r="8" spans="2:19" x14ac:dyDescent="0.2">
      <c r="B8" s="46">
        <v>5</v>
      </c>
      <c r="C8" s="46" t="s">
        <v>246</v>
      </c>
      <c r="D8" s="46">
        <v>0</v>
      </c>
      <c r="F8" s="46" t="s">
        <v>127</v>
      </c>
      <c r="G8" s="46" t="s">
        <v>247</v>
      </c>
      <c r="H8" s="46" t="s">
        <v>129</v>
      </c>
      <c r="I8" s="56">
        <v>4</v>
      </c>
      <c r="J8" s="56">
        <v>23</v>
      </c>
      <c r="K8" s="57">
        <v>0</v>
      </c>
      <c r="L8" s="58"/>
      <c r="M8" s="67">
        <v>37000</v>
      </c>
      <c r="N8" s="67">
        <v>44999</v>
      </c>
      <c r="O8" s="59">
        <v>0.08</v>
      </c>
      <c r="P8" s="57">
        <v>1</v>
      </c>
      <c r="Q8" s="58"/>
      <c r="R8" s="58"/>
      <c r="S8" s="58"/>
    </row>
    <row r="9" spans="2:19" x14ac:dyDescent="0.2">
      <c r="B9" s="46">
        <v>6</v>
      </c>
      <c r="C9" s="46" t="s">
        <v>248</v>
      </c>
      <c r="D9" s="46">
        <v>0</v>
      </c>
      <c r="F9" s="46" t="s">
        <v>127</v>
      </c>
      <c r="G9" s="46" t="s">
        <v>247</v>
      </c>
      <c r="H9" s="46" t="s">
        <v>129</v>
      </c>
      <c r="I9" s="56">
        <v>24</v>
      </c>
      <c r="J9" s="56">
        <v>999999</v>
      </c>
      <c r="K9" s="57">
        <v>0</v>
      </c>
      <c r="L9" s="58"/>
      <c r="M9" s="67">
        <v>45000</v>
      </c>
      <c r="N9" s="67">
        <v>999999.99</v>
      </c>
      <c r="O9" s="59">
        <v>0.09</v>
      </c>
      <c r="P9" s="57">
        <v>1</v>
      </c>
      <c r="Q9" s="58"/>
      <c r="R9" s="58"/>
      <c r="S9" s="58"/>
    </row>
    <row r="10" spans="2:19" x14ac:dyDescent="0.2">
      <c r="B10" s="46">
        <v>4</v>
      </c>
      <c r="C10" s="46" t="s">
        <v>249</v>
      </c>
      <c r="D10" s="46">
        <v>0</v>
      </c>
      <c r="F10" s="46" t="s">
        <v>140</v>
      </c>
      <c r="G10" s="46" t="s">
        <v>141</v>
      </c>
      <c r="H10" s="46" t="s">
        <v>142</v>
      </c>
      <c r="I10" s="60">
        <v>20</v>
      </c>
      <c r="J10" s="56">
        <v>999999</v>
      </c>
      <c r="K10" s="61">
        <v>9.0497737556561084E-2</v>
      </c>
      <c r="L10" s="58"/>
    </row>
    <row r="11" spans="2:19" x14ac:dyDescent="0.2">
      <c r="B11" s="46">
        <v>7</v>
      </c>
      <c r="C11" s="46" t="s">
        <v>250</v>
      </c>
      <c r="D11" s="46">
        <v>1</v>
      </c>
      <c r="F11" s="20" t="s">
        <v>251</v>
      </c>
      <c r="G11" s="20" t="s">
        <v>252</v>
      </c>
      <c r="H11" s="62" t="s">
        <v>71</v>
      </c>
      <c r="I11" s="63">
        <v>1</v>
      </c>
      <c r="J11" s="64">
        <v>2</v>
      </c>
      <c r="K11" s="65">
        <v>1.80505415E-2</v>
      </c>
    </row>
    <row r="12" spans="2:19" x14ac:dyDescent="0.2">
      <c r="B12" s="46">
        <v>11</v>
      </c>
      <c r="C12" s="46" t="s">
        <v>253</v>
      </c>
      <c r="D12" s="46">
        <v>1</v>
      </c>
      <c r="F12" s="20" t="s">
        <v>251</v>
      </c>
      <c r="G12" s="20" t="s">
        <v>254</v>
      </c>
      <c r="H12" s="62" t="s">
        <v>71</v>
      </c>
      <c r="I12" s="63">
        <v>3</v>
      </c>
      <c r="J12" s="64">
        <v>999999</v>
      </c>
      <c r="K12" s="65">
        <v>1.9230769200000001E-2</v>
      </c>
    </row>
    <row r="13" spans="2:19" x14ac:dyDescent="0.2">
      <c r="B13" s="46">
        <v>8</v>
      </c>
      <c r="C13" s="46" t="s">
        <v>255</v>
      </c>
      <c r="D13" s="46">
        <v>0</v>
      </c>
      <c r="F13" s="20" t="s">
        <v>256</v>
      </c>
      <c r="G13" s="20" t="s">
        <v>257</v>
      </c>
      <c r="H13" s="62" t="s">
        <v>71</v>
      </c>
      <c r="I13" s="63">
        <v>16</v>
      </c>
      <c r="J13" s="64">
        <v>999999</v>
      </c>
      <c r="K13" s="65">
        <v>0.12549019607843101</v>
      </c>
    </row>
    <row r="14" spans="2:19" x14ac:dyDescent="0.2">
      <c r="B14" s="46">
        <v>9</v>
      </c>
      <c r="C14" s="46" t="s">
        <v>258</v>
      </c>
      <c r="D14" s="46">
        <v>0</v>
      </c>
      <c r="F14" s="20" t="s">
        <v>259</v>
      </c>
      <c r="G14" s="20" t="s">
        <v>260</v>
      </c>
      <c r="H14" s="62" t="s">
        <v>71</v>
      </c>
      <c r="I14" s="63">
        <v>8</v>
      </c>
      <c r="J14" s="64">
        <v>999999</v>
      </c>
      <c r="K14" s="65">
        <v>5.9790732436472302E-2</v>
      </c>
    </row>
    <row r="15" spans="2:19" x14ac:dyDescent="0.2">
      <c r="F15" s="20" t="s">
        <v>261</v>
      </c>
      <c r="G15" s="20" t="s">
        <v>144</v>
      </c>
      <c r="H15" s="62" t="s">
        <v>71</v>
      </c>
      <c r="I15" s="63">
        <v>1</v>
      </c>
      <c r="J15" s="64">
        <v>5</v>
      </c>
      <c r="K15" s="65">
        <v>4.7058823499999999E-2</v>
      </c>
    </row>
    <row r="16" spans="2:19" x14ac:dyDescent="0.2">
      <c r="F16" s="20" t="s">
        <v>261</v>
      </c>
      <c r="G16" s="20" t="s">
        <v>145</v>
      </c>
      <c r="H16" s="62" t="s">
        <v>71</v>
      </c>
      <c r="I16" s="63">
        <v>6</v>
      </c>
      <c r="J16" s="64">
        <v>999999</v>
      </c>
      <c r="K16" s="65">
        <v>5.1612903199999997E-2</v>
      </c>
    </row>
    <row r="17" spans="2:13" x14ac:dyDescent="0.2">
      <c r="F17" s="20" t="s">
        <v>262</v>
      </c>
      <c r="G17" s="20" t="s">
        <v>74</v>
      </c>
      <c r="H17" s="62" t="s">
        <v>75</v>
      </c>
      <c r="I17" s="63">
        <v>16</v>
      </c>
      <c r="J17" s="64">
        <v>999999</v>
      </c>
      <c r="K17" s="65">
        <v>4.2553191489361701E-2</v>
      </c>
    </row>
    <row r="18" spans="2:13" x14ac:dyDescent="0.2">
      <c r="F18" s="20" t="s">
        <v>77</v>
      </c>
      <c r="G18" s="20" t="s">
        <v>78</v>
      </c>
      <c r="H18" s="62" t="s">
        <v>75</v>
      </c>
      <c r="I18" s="63">
        <v>8</v>
      </c>
      <c r="J18" s="64">
        <v>999999</v>
      </c>
      <c r="K18" s="65">
        <v>3.215434083601286E-2</v>
      </c>
    </row>
    <row r="19" spans="2:13" x14ac:dyDescent="0.2">
      <c r="F19" s="20" t="s">
        <v>263</v>
      </c>
      <c r="G19" s="20" t="s">
        <v>114</v>
      </c>
      <c r="H19" s="62" t="s">
        <v>264</v>
      </c>
      <c r="I19" s="63">
        <v>1</v>
      </c>
      <c r="J19" s="64">
        <v>999999</v>
      </c>
      <c r="K19" s="65">
        <v>3.3740769034886681E-2</v>
      </c>
    </row>
    <row r="20" spans="2:13" x14ac:dyDescent="0.2">
      <c r="F20" s="20" t="s">
        <v>156</v>
      </c>
      <c r="G20" s="20" t="s">
        <v>157</v>
      </c>
      <c r="H20" s="62" t="s">
        <v>71</v>
      </c>
      <c r="I20" s="63">
        <v>1</v>
      </c>
      <c r="J20" s="64">
        <v>999999</v>
      </c>
      <c r="K20" s="65">
        <v>0.107330685843083</v>
      </c>
    </row>
    <row r="21" spans="2:13" x14ac:dyDescent="0.2">
      <c r="F21" s="20" t="s">
        <v>169</v>
      </c>
      <c r="G21" s="20" t="s">
        <v>170</v>
      </c>
      <c r="H21" s="62" t="s">
        <v>171</v>
      </c>
      <c r="I21" s="63">
        <v>1</v>
      </c>
      <c r="J21" s="64">
        <v>999999</v>
      </c>
      <c r="K21" s="65">
        <v>0.10312999535915</v>
      </c>
    </row>
    <row r="22" spans="2:13" x14ac:dyDescent="0.2">
      <c r="F22" s="20" t="s">
        <v>160</v>
      </c>
      <c r="G22" s="20" t="s">
        <v>161</v>
      </c>
      <c r="H22" s="62" t="s">
        <v>84</v>
      </c>
      <c r="I22" s="63">
        <v>1</v>
      </c>
      <c r="J22" s="64">
        <v>999999</v>
      </c>
      <c r="K22" s="65">
        <v>0.14214416577168501</v>
      </c>
    </row>
    <row r="23" spans="2:13" x14ac:dyDescent="0.2">
      <c r="F23" s="20" t="s">
        <v>163</v>
      </c>
      <c r="G23" s="20" t="s">
        <v>164</v>
      </c>
      <c r="H23" s="20" t="s">
        <v>165</v>
      </c>
      <c r="I23" s="63">
        <v>1</v>
      </c>
      <c r="J23" s="64">
        <v>999999</v>
      </c>
      <c r="K23" s="65">
        <v>0.20979020979021001</v>
      </c>
    </row>
    <row r="25" spans="2:13" x14ac:dyDescent="0.2">
      <c r="B25" s="6" t="s">
        <v>199</v>
      </c>
    </row>
    <row r="26" spans="2:13" x14ac:dyDescent="0.2">
      <c r="B26" s="6" t="s">
        <v>265</v>
      </c>
      <c r="F26" s="6" t="s">
        <v>266</v>
      </c>
      <c r="H26" s="6" t="s">
        <v>267</v>
      </c>
      <c r="J26" s="7" t="s">
        <v>31</v>
      </c>
      <c r="K26" s="9" t="s">
        <v>268</v>
      </c>
      <c r="M26" s="66" t="s">
        <v>232</v>
      </c>
    </row>
    <row r="27" spans="2:13" ht="15" x14ac:dyDescent="0.2">
      <c r="F27" s="81" t="s">
        <v>269</v>
      </c>
      <c r="G27" s="103">
        <v>1114.3800000000001</v>
      </c>
      <c r="H27" s="71" t="s">
        <v>270</v>
      </c>
      <c r="I27" s="90">
        <f>64/G27</f>
        <v>5.7431037886537799E-2</v>
      </c>
      <c r="J27" s="71">
        <v>25</v>
      </c>
      <c r="K27" s="86">
        <f>J27/G27</f>
        <v>2.2433999174428829E-2</v>
      </c>
      <c r="M27" s="8" t="s">
        <v>271</v>
      </c>
    </row>
    <row r="28" spans="2:13" ht="15" x14ac:dyDescent="0.2">
      <c r="F28" s="81" t="s">
        <v>272</v>
      </c>
      <c r="G28" s="103">
        <v>117.5</v>
      </c>
      <c r="H28" s="71" t="s">
        <v>273</v>
      </c>
      <c r="I28" s="90"/>
      <c r="J28" s="71">
        <v>5</v>
      </c>
      <c r="K28" s="86">
        <f>J28/G28</f>
        <v>4.2553191489361701E-2</v>
      </c>
    </row>
    <row r="29" spans="2:13" ht="15" x14ac:dyDescent="0.2">
      <c r="F29" s="431" t="s">
        <v>274</v>
      </c>
      <c r="G29" s="103">
        <v>359.94</v>
      </c>
      <c r="H29" s="72"/>
      <c r="J29" s="72"/>
      <c r="K29" s="86"/>
    </row>
    <row r="30" spans="2:13" ht="15" x14ac:dyDescent="0.2">
      <c r="F30" s="431"/>
      <c r="G30" s="103">
        <v>338.5</v>
      </c>
      <c r="H30" s="72"/>
      <c r="J30" s="73">
        <v>7.5</v>
      </c>
      <c r="K30" s="86">
        <f>J30/G30</f>
        <v>2.2156573116691284E-2</v>
      </c>
      <c r="M30" s="8" t="s">
        <v>275</v>
      </c>
    </row>
    <row r="31" spans="2:13" ht="15" x14ac:dyDescent="0.2">
      <c r="F31" s="430" t="s">
        <v>276</v>
      </c>
      <c r="G31" s="103">
        <v>1439.75</v>
      </c>
      <c r="H31" s="70"/>
      <c r="J31" s="70"/>
      <c r="K31" s="86"/>
    </row>
    <row r="32" spans="2:13" ht="15" x14ac:dyDescent="0.2">
      <c r="F32" s="430"/>
      <c r="G32" s="103">
        <v>1354</v>
      </c>
      <c r="H32" s="70"/>
      <c r="J32" s="71">
        <v>30</v>
      </c>
      <c r="K32" s="86">
        <f>J32/G32</f>
        <v>2.2156573116691284E-2</v>
      </c>
      <c r="M32" s="8" t="s">
        <v>275</v>
      </c>
    </row>
    <row r="33" spans="6:14" ht="15" x14ac:dyDescent="0.2">
      <c r="F33" s="82" t="s">
        <v>277</v>
      </c>
      <c r="G33" s="103">
        <v>673.2</v>
      </c>
      <c r="H33" s="72"/>
      <c r="J33" s="74">
        <v>30</v>
      </c>
      <c r="K33" s="86">
        <f>J33/G33</f>
        <v>4.4563279857397504E-2</v>
      </c>
      <c r="M33" s="8">
        <v>4.4563279857397498E-2</v>
      </c>
    </row>
    <row r="34" spans="6:14" ht="15" x14ac:dyDescent="0.2">
      <c r="F34" s="82" t="s">
        <v>278</v>
      </c>
      <c r="G34" s="103">
        <v>318.75</v>
      </c>
      <c r="H34" s="72" t="s">
        <v>279</v>
      </c>
      <c r="I34" s="234">
        <f>40/G34</f>
        <v>0.12549019607843137</v>
      </c>
      <c r="J34" s="74">
        <v>7</v>
      </c>
      <c r="K34" s="86">
        <f>J34/G34</f>
        <v>2.1960784313725491E-2</v>
      </c>
      <c r="M34" s="8">
        <v>2.1960784313725501E-2</v>
      </c>
    </row>
    <row r="35" spans="6:14" ht="15" x14ac:dyDescent="0.2">
      <c r="F35" s="82" t="s">
        <v>280</v>
      </c>
      <c r="G35" s="103">
        <v>167.25</v>
      </c>
      <c r="H35" s="74">
        <v>10</v>
      </c>
      <c r="I35" s="234"/>
      <c r="K35" s="86">
        <f>H35/G35</f>
        <v>5.9790732436472344E-2</v>
      </c>
      <c r="M35" s="8">
        <v>5.9790732436472302E-2</v>
      </c>
    </row>
    <row r="36" spans="6:14" ht="15" x14ac:dyDescent="0.2">
      <c r="F36" s="430" t="s">
        <v>281</v>
      </c>
      <c r="G36" s="142">
        <v>508.75</v>
      </c>
      <c r="H36" s="70" t="s">
        <v>282</v>
      </c>
      <c r="I36" s="87">
        <f>25/G36</f>
        <v>4.9140049140049137E-2</v>
      </c>
    </row>
    <row r="37" spans="6:14" ht="15" x14ac:dyDescent="0.2">
      <c r="F37" s="430"/>
      <c r="G37" s="103">
        <v>447.5</v>
      </c>
      <c r="H37" s="70"/>
      <c r="I37" s="87">
        <f>25/G37</f>
        <v>5.5865921787709494E-2</v>
      </c>
      <c r="J37" s="71">
        <v>21</v>
      </c>
      <c r="K37" s="86">
        <f>J37/G37</f>
        <v>4.6927374301675977E-2</v>
      </c>
      <c r="M37" s="8">
        <v>4.6927374301675998E-2</v>
      </c>
      <c r="N37" s="8">
        <f>M37*G37</f>
        <v>21.000000000000011</v>
      </c>
    </row>
    <row r="38" spans="6:14" ht="15" x14ac:dyDescent="0.2">
      <c r="F38" s="82" t="s">
        <v>283</v>
      </c>
      <c r="G38" s="103">
        <v>444.75</v>
      </c>
      <c r="H38" s="72" t="s">
        <v>284</v>
      </c>
      <c r="I38" s="87">
        <f>5/G38</f>
        <v>1.1242270938729624E-2</v>
      </c>
      <c r="J38" s="74">
        <v>21</v>
      </c>
      <c r="K38" s="86">
        <f>J38/G38</f>
        <v>4.7217537942664416E-2</v>
      </c>
      <c r="M38" s="8" t="s">
        <v>275</v>
      </c>
    </row>
    <row r="39" spans="6:14" ht="15" x14ac:dyDescent="0.2">
      <c r="F39" s="430" t="s">
        <v>285</v>
      </c>
      <c r="G39" s="103">
        <v>190.25</v>
      </c>
      <c r="H39" s="70"/>
      <c r="J39" s="70"/>
      <c r="K39" s="86"/>
    </row>
    <row r="40" spans="6:14" ht="15" x14ac:dyDescent="0.2">
      <c r="F40" s="430"/>
      <c r="G40" s="103">
        <v>174</v>
      </c>
      <c r="H40" s="70"/>
      <c r="J40" s="71">
        <v>9</v>
      </c>
      <c r="K40" s="86">
        <f>J40/G40</f>
        <v>5.1724137931034482E-2</v>
      </c>
      <c r="M40" s="8" t="s">
        <v>275</v>
      </c>
    </row>
    <row r="41" spans="6:14" x14ac:dyDescent="0.2">
      <c r="F41" s="83" t="s">
        <v>286</v>
      </c>
      <c r="G41" s="76"/>
      <c r="H41" s="75"/>
      <c r="J41" s="75"/>
      <c r="K41" s="86"/>
    </row>
    <row r="42" spans="6:14" ht="15" x14ac:dyDescent="0.2">
      <c r="F42" s="81" t="s">
        <v>287</v>
      </c>
      <c r="G42" s="103">
        <v>155.5</v>
      </c>
      <c r="H42" s="70" t="s">
        <v>288</v>
      </c>
      <c r="I42" s="87">
        <f>5/G42</f>
        <v>3.215434083601286E-2</v>
      </c>
      <c r="J42" s="70"/>
      <c r="K42" s="86"/>
      <c r="M42" s="8" t="s">
        <v>275</v>
      </c>
    </row>
    <row r="43" spans="6:14" ht="15" x14ac:dyDescent="0.2">
      <c r="F43" s="82" t="s">
        <v>289</v>
      </c>
      <c r="G43" s="68"/>
      <c r="H43" s="72"/>
      <c r="J43" s="72"/>
      <c r="K43" s="86"/>
    </row>
    <row r="44" spans="6:14" ht="15" x14ac:dyDescent="0.2">
      <c r="F44" s="430" t="s">
        <v>290</v>
      </c>
      <c r="G44" s="69"/>
      <c r="H44" s="70"/>
      <c r="J44" s="70"/>
      <c r="K44" s="86"/>
    </row>
    <row r="45" spans="6:14" ht="15" x14ac:dyDescent="0.2">
      <c r="F45" s="430"/>
      <c r="G45" s="69"/>
      <c r="H45" s="70"/>
      <c r="J45" s="70"/>
      <c r="K45" s="86"/>
    </row>
    <row r="46" spans="6:14" ht="15" x14ac:dyDescent="0.2">
      <c r="F46" s="82" t="s">
        <v>291</v>
      </c>
      <c r="G46" s="103">
        <v>110.5</v>
      </c>
      <c r="H46" s="72" t="s">
        <v>292</v>
      </c>
      <c r="I46" s="87">
        <f>10/G46</f>
        <v>9.0497737556561084E-2</v>
      </c>
      <c r="J46" s="72"/>
      <c r="K46" s="86"/>
      <c r="M46" s="8" t="s">
        <v>275</v>
      </c>
    </row>
    <row r="47" spans="6:14" ht="15" x14ac:dyDescent="0.2">
      <c r="F47" s="82" t="s">
        <v>293</v>
      </c>
      <c r="G47" s="103">
        <v>937</v>
      </c>
      <c r="H47" s="72"/>
      <c r="I47" s="87"/>
      <c r="J47" s="72">
        <v>40</v>
      </c>
      <c r="K47" s="6">
        <f>J47/G47</f>
        <v>4.2689434364994665E-2</v>
      </c>
      <c r="N47" s="8">
        <v>4.2689434364994699E-2</v>
      </c>
    </row>
    <row r="48" spans="6:14" ht="15" x14ac:dyDescent="0.2">
      <c r="F48" s="82" t="s">
        <v>293</v>
      </c>
      <c r="G48" s="103">
        <v>833.75</v>
      </c>
      <c r="H48" s="72"/>
      <c r="I48" s="87"/>
      <c r="J48" s="72">
        <v>40</v>
      </c>
      <c r="K48" s="6">
        <f>J48/G48</f>
        <v>4.7976011994002997E-2</v>
      </c>
      <c r="N48" s="8">
        <v>4.7976011994002997E-2</v>
      </c>
    </row>
    <row r="49" spans="6:14" ht="15" x14ac:dyDescent="0.2">
      <c r="F49" s="81" t="s">
        <v>294</v>
      </c>
      <c r="G49" s="103">
        <v>389.7</v>
      </c>
      <c r="H49" s="70"/>
      <c r="J49" s="70">
        <v>25</v>
      </c>
      <c r="K49" s="6">
        <f>J49/G49</f>
        <v>6.4151911726969463E-2</v>
      </c>
      <c r="M49" s="8" t="s">
        <v>275</v>
      </c>
    </row>
    <row r="50" spans="6:14" ht="15" x14ac:dyDescent="0.25">
      <c r="F50" s="84" t="s">
        <v>295</v>
      </c>
      <c r="G50" s="77"/>
      <c r="H50" s="77"/>
      <c r="J50" s="77"/>
      <c r="K50" s="86"/>
    </row>
    <row r="51" spans="6:14" ht="15" x14ac:dyDescent="0.25">
      <c r="F51" s="431" t="s">
        <v>296</v>
      </c>
      <c r="G51" s="103">
        <v>1778</v>
      </c>
      <c r="H51" s="78"/>
      <c r="J51" s="78"/>
      <c r="K51" s="86"/>
    </row>
    <row r="52" spans="6:14" ht="15" x14ac:dyDescent="0.25">
      <c r="F52" s="431"/>
      <c r="G52" s="103">
        <v>1601</v>
      </c>
      <c r="H52" s="78"/>
      <c r="J52" s="78"/>
      <c r="K52" s="86"/>
    </row>
    <row r="53" spans="6:14" ht="15" x14ac:dyDescent="0.25">
      <c r="F53" s="84" t="s">
        <v>297</v>
      </c>
      <c r="G53" s="77"/>
      <c r="H53" s="77"/>
      <c r="J53" s="77"/>
      <c r="K53" s="86"/>
    </row>
    <row r="54" spans="6:14" ht="15" x14ac:dyDescent="0.25">
      <c r="F54" s="298" t="s">
        <v>298</v>
      </c>
      <c r="G54" s="142">
        <v>1570.8</v>
      </c>
      <c r="H54" s="299">
        <v>53</v>
      </c>
      <c r="I54" s="87">
        <f>H54/G54</f>
        <v>3.3740769034886681E-2</v>
      </c>
      <c r="J54" s="77"/>
      <c r="K54" s="86"/>
      <c r="N54" s="8">
        <v>3.37525871676485E-2</v>
      </c>
    </row>
    <row r="55" spans="6:14" ht="15" x14ac:dyDescent="0.25">
      <c r="F55" s="85" t="s">
        <v>299</v>
      </c>
      <c r="G55" s="103">
        <v>457</v>
      </c>
      <c r="H55" s="79"/>
      <c r="J55" s="80">
        <v>20</v>
      </c>
      <c r="K55" s="86">
        <f>J55/G55</f>
        <v>4.3763676148796497E-2</v>
      </c>
      <c r="M55" s="86" t="s">
        <v>300</v>
      </c>
    </row>
    <row r="56" spans="6:14" ht="15" x14ac:dyDescent="0.25">
      <c r="F56" s="85" t="s">
        <v>301</v>
      </c>
      <c r="G56" s="22">
        <f>423.5*1.1</f>
        <v>465.85</v>
      </c>
      <c r="H56" s="80">
        <v>50</v>
      </c>
      <c r="I56" s="87">
        <f>H56/G56</f>
        <v>0.10733068584308253</v>
      </c>
      <c r="J56" s="80"/>
      <c r="K56" s="86"/>
      <c r="M56" s="86">
        <v>0.107330685843083</v>
      </c>
      <c r="N56" s="8">
        <v>0.118063754427391</v>
      </c>
    </row>
    <row r="57" spans="6:14" ht="15" x14ac:dyDescent="0.25">
      <c r="F57" s="85" t="s">
        <v>302</v>
      </c>
      <c r="G57" s="22">
        <f>104*1.1</f>
        <v>114.4</v>
      </c>
      <c r="H57" s="80">
        <v>24</v>
      </c>
      <c r="I57" s="87">
        <f t="shared" ref="I57:I59" si="0">H57/G57</f>
        <v>0.20979020979020979</v>
      </c>
      <c r="J57" s="80"/>
      <c r="K57" s="86"/>
      <c r="M57" s="86">
        <v>0.20979020979021001</v>
      </c>
      <c r="N57" s="8">
        <v>0.230769230769231</v>
      </c>
    </row>
    <row r="58" spans="6:14" ht="15" x14ac:dyDescent="0.25">
      <c r="F58" s="85" t="s">
        <v>303</v>
      </c>
      <c r="G58" s="22">
        <f>440.75*1.1</f>
        <v>484.82500000000005</v>
      </c>
      <c r="H58" s="80">
        <v>50</v>
      </c>
      <c r="I58" s="87">
        <f t="shared" si="0"/>
        <v>0.1031299953591502</v>
      </c>
      <c r="J58" s="80"/>
      <c r="K58" s="86"/>
      <c r="M58" s="86">
        <v>0.10312999535915</v>
      </c>
      <c r="N58" s="8">
        <v>0.113442994895065</v>
      </c>
    </row>
    <row r="59" spans="6:14" x14ac:dyDescent="0.2">
      <c r="F59" s="6" t="s">
        <v>304</v>
      </c>
      <c r="G59" s="22">
        <f>575.6*1.1</f>
        <v>633.16000000000008</v>
      </c>
      <c r="H59" s="236">
        <v>90</v>
      </c>
      <c r="I59" s="87">
        <f t="shared" si="0"/>
        <v>0.14214416577168487</v>
      </c>
      <c r="M59" s="8">
        <v>0.14214416577168501</v>
      </c>
      <c r="N59" s="8">
        <v>0.156358582348853</v>
      </c>
    </row>
    <row r="62" spans="6:14" x14ac:dyDescent="0.2">
      <c r="F62" s="94" t="s">
        <v>305</v>
      </c>
      <c r="G62" s="94" t="s">
        <v>306</v>
      </c>
      <c r="H62" s="94"/>
    </row>
    <row r="63" spans="6:14" x14ac:dyDescent="0.2">
      <c r="F63" s="93" t="s">
        <v>307</v>
      </c>
      <c r="G63" s="92" t="s">
        <v>308</v>
      </c>
      <c r="H63" s="92"/>
    </row>
    <row r="64" spans="6:14" x14ac:dyDescent="0.2">
      <c r="F64" s="91" t="s">
        <v>309</v>
      </c>
      <c r="G64" s="92" t="s">
        <v>308</v>
      </c>
      <c r="H64" s="92"/>
    </row>
    <row r="65" spans="6:8" x14ac:dyDescent="0.2">
      <c r="F65" s="91" t="s">
        <v>310</v>
      </c>
      <c r="G65" s="92" t="s">
        <v>308</v>
      </c>
      <c r="H65" s="92"/>
    </row>
    <row r="66" spans="6:8" x14ac:dyDescent="0.2">
      <c r="F66" s="91" t="s">
        <v>311</v>
      </c>
      <c r="G66" s="92" t="s">
        <v>308</v>
      </c>
      <c r="H66" s="92"/>
    </row>
    <row r="67" spans="6:8" x14ac:dyDescent="0.2">
      <c r="F67" s="91" t="s">
        <v>312</v>
      </c>
      <c r="G67" s="92"/>
      <c r="H67" s="92"/>
    </row>
    <row r="68" spans="6:8" x14ac:dyDescent="0.2">
      <c r="F68" s="91" t="s">
        <v>313</v>
      </c>
      <c r="G68" s="92"/>
      <c r="H68" s="92"/>
    </row>
    <row r="69" spans="6:8" x14ac:dyDescent="0.2">
      <c r="F69" s="91" t="s">
        <v>314</v>
      </c>
      <c r="G69" s="92"/>
      <c r="H69" s="92"/>
    </row>
    <row r="70" spans="6:8" x14ac:dyDescent="0.2">
      <c r="F70" s="91" t="s">
        <v>315</v>
      </c>
      <c r="G70" s="92"/>
      <c r="H70" s="92"/>
    </row>
    <row r="71" spans="6:8" x14ac:dyDescent="0.2">
      <c r="F71" s="91" t="s">
        <v>316</v>
      </c>
      <c r="G71" s="92"/>
      <c r="H71" s="92"/>
    </row>
  </sheetData>
  <mergeCells count="9">
    <mergeCell ref="F44:F45"/>
    <mergeCell ref="F51:F52"/>
    <mergeCell ref="B2:D2"/>
    <mergeCell ref="F2:K2"/>
    <mergeCell ref="M2:P2"/>
    <mergeCell ref="F29:F30"/>
    <mergeCell ref="F31:F32"/>
    <mergeCell ref="F36:F37"/>
    <mergeCell ref="F39:F40"/>
  </mergeCells>
  <pageMargins left="0.75" right="0.75" top="0.75" bottom="0.5" header="0.5" footer="0.75"/>
  <pageSetup orientation="portrait" r:id="rId1"/>
  <customProperties>
    <customPr name="IbpWorksheetKeyString_GU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641DFB-D265-47C5-9F1F-ABAFBE0740D4}">
  <dimension ref="A2:P44"/>
  <sheetViews>
    <sheetView topLeftCell="A19" workbookViewId="0">
      <selection activeCell="C47" sqref="C47"/>
    </sheetView>
  </sheetViews>
  <sheetFormatPr defaultRowHeight="15" x14ac:dyDescent="0.25"/>
  <cols>
    <col min="1" max="1" width="31.28515625" customWidth="1"/>
    <col min="3" max="3" width="38.85546875" customWidth="1"/>
    <col min="4" max="4" width="16.140625" customWidth="1"/>
  </cols>
  <sheetData>
    <row r="2" spans="1:16" ht="21" x14ac:dyDescent="0.35">
      <c r="A2" s="153" t="s">
        <v>317</v>
      </c>
    </row>
    <row r="3" spans="1:16" x14ac:dyDescent="0.25">
      <c r="A3" s="154" t="s">
        <v>318</v>
      </c>
      <c r="C3" s="165" t="s">
        <v>319</v>
      </c>
      <c r="D3" s="154"/>
    </row>
    <row r="4" spans="1:16" ht="16.5" customHeight="1" x14ac:dyDescent="0.25">
      <c r="A4" s="437" t="s">
        <v>320</v>
      </c>
      <c r="B4" s="439"/>
      <c r="C4" s="159" t="s">
        <v>321</v>
      </c>
      <c r="D4" s="157">
        <v>64</v>
      </c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</row>
    <row r="5" spans="1:16" ht="52.5" customHeight="1" x14ac:dyDescent="0.25">
      <c r="A5" s="438"/>
      <c r="B5" s="451"/>
      <c r="C5" s="158" t="s">
        <v>322</v>
      </c>
      <c r="D5" s="71">
        <v>25</v>
      </c>
      <c r="E5" s="155"/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</row>
    <row r="6" spans="1:16" ht="32.450000000000003" customHeight="1" x14ac:dyDescent="0.25">
      <c r="A6" s="97" t="s">
        <v>323</v>
      </c>
      <c r="B6" s="21"/>
      <c r="C6" s="436" t="s">
        <v>324</v>
      </c>
      <c r="D6" s="160" t="s">
        <v>325</v>
      </c>
    </row>
    <row r="7" spans="1:16" ht="30" customHeight="1" x14ac:dyDescent="0.25">
      <c r="A7" s="164" t="s">
        <v>326</v>
      </c>
      <c r="B7" s="21"/>
      <c r="C7" s="436"/>
      <c r="D7" s="161" t="s">
        <v>327</v>
      </c>
    </row>
    <row r="8" spans="1:16" ht="33.950000000000003" customHeight="1" x14ac:dyDescent="0.25">
      <c r="A8" s="97" t="s">
        <v>133</v>
      </c>
      <c r="B8" s="21"/>
      <c r="C8" s="158" t="s">
        <v>328</v>
      </c>
      <c r="D8" s="160">
        <v>9</v>
      </c>
    </row>
    <row r="9" spans="1:16" ht="22.5" customHeight="1" x14ac:dyDescent="0.25">
      <c r="A9" s="229"/>
      <c r="B9" s="309"/>
      <c r="C9" s="158"/>
      <c r="D9" s="160"/>
    </row>
    <row r="10" spans="1:16" ht="33.950000000000003" customHeight="1" x14ac:dyDescent="0.25">
      <c r="A10" s="441" t="s">
        <v>329</v>
      </c>
      <c r="B10" s="307"/>
      <c r="C10" s="158" t="s">
        <v>330</v>
      </c>
      <c r="D10" s="71">
        <v>5</v>
      </c>
    </row>
    <row r="11" spans="1:16" ht="33.950000000000003" customHeight="1" x14ac:dyDescent="0.25">
      <c r="A11" s="442"/>
      <c r="B11" s="307"/>
      <c r="C11" s="158" t="s">
        <v>331</v>
      </c>
      <c r="D11" s="71">
        <v>5</v>
      </c>
    </row>
    <row r="12" spans="1:16" ht="22.5" customHeight="1" x14ac:dyDescent="0.25">
      <c r="A12" s="311"/>
      <c r="B12" s="310"/>
      <c r="C12" s="158"/>
      <c r="D12" s="71"/>
    </row>
    <row r="13" spans="1:16" ht="26.1" customHeight="1" x14ac:dyDescent="0.25">
      <c r="A13" s="441" t="s">
        <v>332</v>
      </c>
      <c r="B13" s="307"/>
      <c r="C13" s="158" t="s">
        <v>333</v>
      </c>
      <c r="D13" s="71">
        <v>40</v>
      </c>
    </row>
    <row r="14" spans="1:16" ht="25.5" customHeight="1" x14ac:dyDescent="0.25">
      <c r="A14" s="442"/>
      <c r="B14" s="228"/>
      <c r="C14" s="158" t="s">
        <v>334</v>
      </c>
      <c r="D14" s="71">
        <v>7</v>
      </c>
    </row>
    <row r="15" spans="1:16" ht="21.6" customHeight="1" x14ac:dyDescent="0.25">
      <c r="A15" s="308"/>
      <c r="B15" s="310"/>
      <c r="C15" s="158"/>
      <c r="D15" s="71"/>
    </row>
    <row r="16" spans="1:16" ht="25.5" customHeight="1" x14ac:dyDescent="0.25">
      <c r="A16" s="163" t="s">
        <v>335</v>
      </c>
      <c r="B16" s="21"/>
      <c r="C16" s="159" t="s">
        <v>336</v>
      </c>
      <c r="D16" s="160">
        <v>10</v>
      </c>
    </row>
    <row r="17" spans="1:14" ht="19.5" customHeight="1" x14ac:dyDescent="0.25">
      <c r="A17" s="308"/>
      <c r="B17" s="310"/>
      <c r="C17" s="158"/>
      <c r="D17" s="71"/>
    </row>
    <row r="18" spans="1:14" x14ac:dyDescent="0.25">
      <c r="A18" s="163" t="s">
        <v>337</v>
      </c>
      <c r="B18" s="21"/>
      <c r="C18" s="159" t="s">
        <v>336</v>
      </c>
      <c r="D18" s="160">
        <v>5</v>
      </c>
    </row>
    <row r="19" spans="1:14" x14ac:dyDescent="0.25">
      <c r="A19" s="159"/>
      <c r="B19" s="159"/>
      <c r="C19" s="159"/>
      <c r="D19" s="160"/>
    </row>
    <row r="20" spans="1:14" x14ac:dyDescent="0.25">
      <c r="A20" s="163" t="s">
        <v>338</v>
      </c>
      <c r="B20" s="21"/>
      <c r="C20" s="159" t="s">
        <v>339</v>
      </c>
      <c r="D20" s="160">
        <v>10</v>
      </c>
    </row>
    <row r="21" spans="1:14" x14ac:dyDescent="0.25">
      <c r="A21" s="169"/>
    </row>
    <row r="22" spans="1:14" x14ac:dyDescent="0.25">
      <c r="A22" s="445" t="s">
        <v>340</v>
      </c>
      <c r="B22" s="21"/>
      <c r="C22" s="312" t="s">
        <v>341</v>
      </c>
      <c r="D22" s="160">
        <v>30</v>
      </c>
    </row>
    <row r="23" spans="1:14" ht="30" x14ac:dyDescent="0.25">
      <c r="A23" s="446"/>
      <c r="B23" s="21"/>
      <c r="C23" s="162" t="s">
        <v>342</v>
      </c>
      <c r="D23" s="160">
        <v>30</v>
      </c>
    </row>
    <row r="24" spans="1:14" ht="30" x14ac:dyDescent="0.25">
      <c r="A24" s="97" t="s">
        <v>343</v>
      </c>
      <c r="B24" s="21"/>
      <c r="C24" s="162" t="s">
        <v>344</v>
      </c>
      <c r="D24" s="160">
        <v>20</v>
      </c>
    </row>
    <row r="25" spans="1:14" x14ac:dyDescent="0.25">
      <c r="A25" s="85"/>
    </row>
    <row r="26" spans="1:14" x14ac:dyDescent="0.25">
      <c r="A26" s="437" t="s">
        <v>345</v>
      </c>
      <c r="B26" s="439"/>
      <c r="C26" s="166" t="s">
        <v>346</v>
      </c>
      <c r="D26" s="160">
        <v>25</v>
      </c>
    </row>
    <row r="27" spans="1:14" ht="32.1" customHeight="1" x14ac:dyDescent="0.25">
      <c r="A27" s="438"/>
      <c r="B27" s="440"/>
      <c r="C27" s="167" t="s">
        <v>347</v>
      </c>
      <c r="D27" s="160">
        <v>21</v>
      </c>
    </row>
    <row r="28" spans="1:14" ht="17.100000000000001" customHeight="1" x14ac:dyDescent="0.25">
      <c r="A28" s="447" t="s">
        <v>348</v>
      </c>
      <c r="B28" s="449"/>
      <c r="C28" s="159" t="s">
        <v>349</v>
      </c>
      <c r="D28" s="160">
        <v>5</v>
      </c>
    </row>
    <row r="29" spans="1:14" ht="30.95" customHeight="1" x14ac:dyDescent="0.25">
      <c r="A29" s="448"/>
      <c r="B29" s="450"/>
      <c r="C29" s="170" t="s">
        <v>350</v>
      </c>
      <c r="D29" s="160">
        <v>21</v>
      </c>
      <c r="E29" s="168"/>
      <c r="F29" s="168"/>
      <c r="G29" s="168"/>
      <c r="H29" s="168"/>
      <c r="I29" s="168"/>
      <c r="J29" s="168"/>
      <c r="K29" s="168"/>
      <c r="L29" s="168"/>
      <c r="M29" s="168"/>
      <c r="N29" s="168"/>
    </row>
    <row r="30" spans="1:14" x14ac:dyDescent="0.25">
      <c r="A30" s="85"/>
    </row>
    <row r="31" spans="1:14" x14ac:dyDescent="0.25">
      <c r="A31" s="315" t="s">
        <v>114</v>
      </c>
      <c r="B31" s="313"/>
      <c r="C31" s="312" t="s">
        <v>351</v>
      </c>
      <c r="D31" s="80">
        <v>53</v>
      </c>
    </row>
    <row r="32" spans="1:14" x14ac:dyDescent="0.25">
      <c r="A32" s="85"/>
    </row>
    <row r="33" spans="1:4" ht="29.45" customHeight="1" x14ac:dyDescent="0.25">
      <c r="A33" s="97" t="s">
        <v>352</v>
      </c>
      <c r="B33" s="21"/>
      <c r="C33" s="162" t="s">
        <v>353</v>
      </c>
      <c r="D33" s="71">
        <v>25</v>
      </c>
    </row>
    <row r="34" spans="1:4" x14ac:dyDescent="0.25">
      <c r="C34" s="312"/>
    </row>
    <row r="35" spans="1:4" ht="30.6" customHeight="1" x14ac:dyDescent="0.25">
      <c r="A35" s="443" t="s">
        <v>293</v>
      </c>
      <c r="B35" s="313"/>
      <c r="C35" s="162" t="s">
        <v>354</v>
      </c>
      <c r="D35" s="71">
        <v>40</v>
      </c>
    </row>
    <row r="36" spans="1:4" ht="32.1" customHeight="1" x14ac:dyDescent="0.25">
      <c r="A36" s="444"/>
      <c r="B36" s="313"/>
      <c r="C36" s="162" t="s">
        <v>355</v>
      </c>
      <c r="D36" s="71">
        <v>40</v>
      </c>
    </row>
    <row r="37" spans="1:4" x14ac:dyDescent="0.25">
      <c r="A37" s="314"/>
    </row>
    <row r="38" spans="1:4" x14ac:dyDescent="0.25">
      <c r="A38" s="20" t="s">
        <v>157</v>
      </c>
      <c r="B38" s="313"/>
      <c r="C38" s="312" t="s">
        <v>351</v>
      </c>
      <c r="D38" s="71">
        <v>50</v>
      </c>
    </row>
    <row r="40" spans="1:4" x14ac:dyDescent="0.25">
      <c r="A40" s="20" t="s">
        <v>161</v>
      </c>
      <c r="B40" s="313"/>
      <c r="C40" s="312" t="s">
        <v>351</v>
      </c>
      <c r="D40" s="71">
        <v>90</v>
      </c>
    </row>
    <row r="42" spans="1:4" x14ac:dyDescent="0.25">
      <c r="A42" s="317" t="s">
        <v>164</v>
      </c>
      <c r="B42" s="313"/>
      <c r="C42" s="312" t="s">
        <v>351</v>
      </c>
      <c r="D42" s="318">
        <v>24</v>
      </c>
    </row>
    <row r="43" spans="1:4" x14ac:dyDescent="0.25">
      <c r="A43" s="316"/>
      <c r="D43" s="318"/>
    </row>
    <row r="44" spans="1:4" x14ac:dyDescent="0.25">
      <c r="A44" s="317" t="s">
        <v>170</v>
      </c>
      <c r="B44" s="313"/>
      <c r="C44" s="312" t="s">
        <v>351</v>
      </c>
      <c r="D44" s="318">
        <v>50</v>
      </c>
    </row>
  </sheetData>
  <sheetProtection algorithmName="SHA-512" hashValue="wvU2+RNFp9gnv864kC5IU9KipE7WnNdl5PlrgGDRjH/mgqczndX4bkp9b+u/WydYuhJRLY0zOxU3ycw7P+h/4g==" saltValue="gm/ecywFDMh9SBXWvGz6tg==" spinCount="100000" sheet="1" objects="1" scenarios="1"/>
  <mergeCells count="11">
    <mergeCell ref="A35:A36"/>
    <mergeCell ref="A22:A23"/>
    <mergeCell ref="A28:A29"/>
    <mergeCell ref="B28:B29"/>
    <mergeCell ref="A4:A5"/>
    <mergeCell ref="B4:B5"/>
    <mergeCell ref="C6:C7"/>
    <mergeCell ref="A26:A27"/>
    <mergeCell ref="B26:B27"/>
    <mergeCell ref="A10:A11"/>
    <mergeCell ref="A13:A14"/>
  </mergeCells>
  <dataValidations count="6">
    <dataValidation type="whole" allowBlank="1" showInputMessage="1" showErrorMessage="1" errorTitle="# Units Error" error="Must be greater than 1." sqref="B24 B18 B16 B35:B36" xr:uid="{AA0DA588-336B-4672-B6B1-E5C7189210B8}">
      <formula1>1</formula1>
      <formula2>999999</formula2>
    </dataValidation>
    <dataValidation type="whole" allowBlank="1" showInputMessage="1" showErrorMessage="1" errorTitle="# Units Error" error="Must be greater than 1." sqref="B22:B23 B33 B28 B20 B4 B6:B15 B17 B31 B38 B40 B42 B44" xr:uid="{E33264AC-D150-44AC-8BF0-B7E0E36A2F30}">
      <formula1>1</formula1>
      <formula2>9999999</formula2>
    </dataValidation>
    <dataValidation type="whole" allowBlank="1" showInputMessage="1" showErrorMessage="1" errorTitle="# Units Error" error="Must be 3 or greater." sqref="B6" xr:uid="{009CADFB-0274-42AB-8BBC-2DD39AAF285E}">
      <formula1>3</formula1>
      <formula2>9999999</formula2>
    </dataValidation>
    <dataValidation type="whole" allowBlank="1" showInputMessage="1" showErrorMessage="1" errorTitle="# Units Error" error="Must be between 1 and 5" sqref="B26" xr:uid="{D6C513F1-BE82-474E-90E8-6EBEE87BD136}">
      <formula1>1</formula1>
      <formula2>5</formula2>
    </dataValidation>
    <dataValidation type="whole" allowBlank="1" showInputMessage="1" showErrorMessage="1" errorTitle="# Units Error" error="Must be 24 or greater." sqref="B8:B15 B17" xr:uid="{D09C353C-5667-4EB2-B4AA-81833F65F615}">
      <formula1>24</formula1>
      <formula2>9999999</formula2>
    </dataValidation>
    <dataValidation type="whole" allowBlank="1" showInputMessage="1" showErrorMessage="1" errorTitle="# Units Error" error="Must be 9 or greater." sqref="B22:B23 B7:B15 B17" xr:uid="{7093DCBF-B716-4CA7-8678-63AA81E418DC}">
      <formula1>9</formula1>
      <formula2>9999999</formula2>
    </dataValidation>
  </dataValidations>
  <pageMargins left="0.7" right="0.7" top="0.75" bottom="0.75" header="0.3" footer="0.3"/>
  <pageSetup orientation="portrait" r:id="rId1"/>
  <customProperties>
    <customPr name="IbpWorksheetKeyString_GU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4df1d42-0b6e-4c9a-bde1-371b1f6221f7">
      <Value>1</Value>
    </TaxCatchAll>
    <SharedWithUsers xmlns="c4df1d42-0b6e-4c9a-bde1-371b1f6221f7">
      <UserInfo>
        <DisplayName/>
        <AccountId xsi:nil="true"/>
        <AccountType/>
      </UserInfo>
    </SharedWithUsers>
    <lcf76f155ced4ddcb4097134ff3c332f xmlns="12380346-af75-4b42-99cb-3c92ab0c847d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746DD53A9704547929D8108F65BA31E" ma:contentTypeVersion="22" ma:contentTypeDescription="Create a new document." ma:contentTypeScope="" ma:versionID="3a8ddca73d2626950d014ea53069f21a">
  <xsd:schema xmlns:xsd="http://www.w3.org/2001/XMLSchema" xmlns:xs="http://www.w3.org/2001/XMLSchema" xmlns:p="http://schemas.microsoft.com/office/2006/metadata/properties" xmlns:ns2="c4df1d42-0b6e-4c9a-bde1-371b1f6221f7" xmlns:ns3="12380346-af75-4b42-99cb-3c92ab0c847d" targetNamespace="http://schemas.microsoft.com/office/2006/metadata/properties" ma:root="true" ma:fieldsID="f9af0ea32cfee40877af246d03a89656" ns2:_="" ns3:_="">
    <xsd:import namespace="c4df1d42-0b6e-4c9a-bde1-371b1f6221f7"/>
    <xsd:import namespace="12380346-af75-4b42-99cb-3c92ab0c847d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2:SharedWithUsers" minOccurs="0"/>
                <xsd:element ref="ns2:SharedWithDetails" minOccurs="0"/>
                <xsd:element ref="ns3:lcf76f155ced4ddcb4097134ff3c332f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df1d42-0b6e-4c9a-bde1-371b1f6221f7" elementFormDefault="qualified">
    <xsd:import namespace="http://schemas.microsoft.com/office/2006/documentManagement/types"/>
    <xsd:import namespace="http://schemas.microsoft.com/office/infopath/2007/PartnerControls"/>
    <xsd:element name="TaxCatchAll" ma:index="5" nillable="true" ma:displayName="Taxonomy Catch All Column" ma:hidden="true" ma:list="{37194cc7-0f5b-4fb5-9f5e-6fe76beaf4de}" ma:internalName="TaxCatchAll" ma:showField="CatchAllData" ma:web="c4df1d42-0b6e-4c9a-bde1-371b1f6221f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3" nillable="true" ma:displayName="Shared With" ma:SearchPeopleOnly="false" ma:SharePointGroup="0" ma:internalName="SharedWithUsers" ma:readOnly="true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2380346-af75-4b42-99cb-3c92ab0c847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6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7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8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2" nillable="true" ma:displayName="MediaLengthInSeconds" ma:description="" ma:internalName="MediaLengthInSeconds" ma:readOnly="true">
      <xsd:simpleType>
        <xsd:restriction base="dms:Unknown"/>
      </xsd:simpleType>
    </xsd:element>
    <xsd:element name="lcf76f155ced4ddcb4097134ff3c332f" ma:index="16" nillable="true" ma:taxonomy="true" ma:internalName="lcf76f155ced4ddcb4097134ff3c332f" ma:taxonomyFieldName="MediaServiceImageTags" ma:displayName="Image Tags" ma:readOnly="false" ma:fieldId="{5cf76f15-5ced-4ddc-b409-7134ff3c332f}" ma:taxonomyMulti="true" ma:sspId="f2a2e794-9366-4967-bc2f-bbaf13cd7d6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7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1D0050A-FED6-4543-856B-2489F0527F4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39CE399-7F2C-4AB7-B85C-DC0375166756}">
  <ds:schemaRefs>
    <ds:schemaRef ds:uri="http://schemas.microsoft.com/office/2006/metadata/properties"/>
    <ds:schemaRef ds:uri="http://schemas.microsoft.com/office/infopath/2007/PartnerControls"/>
    <ds:schemaRef ds:uri="c4df1d42-0b6e-4c9a-bde1-371b1f6221f7"/>
    <ds:schemaRef ds:uri="12380346-af75-4b42-99cb-3c92ab0c847d"/>
  </ds:schemaRefs>
</ds:datastoreItem>
</file>

<file path=customXml/itemProps3.xml><?xml version="1.0" encoding="utf-8"?>
<ds:datastoreItem xmlns:ds="http://schemas.openxmlformats.org/officeDocument/2006/customXml" ds:itemID="{04D4CF95-971A-4802-8992-69C182EA0F6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4df1d42-0b6e-4c9a-bde1-371b1f6221f7"/>
    <ds:schemaRef ds:uri="12380346-af75-4b42-99cb-3c92ab0c847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FALL-CALCULATOR</vt:lpstr>
      <vt:lpstr>PRINT YOUR ORDER</vt:lpstr>
      <vt:lpstr>NATIONAL GOLF FLYER</vt:lpstr>
      <vt:lpstr>NATIONAL LAWN FLYER</vt:lpstr>
      <vt:lpstr>Rebates</vt:lpstr>
      <vt:lpstr>QUICK REFERENCE</vt:lpstr>
      <vt:lpstr>Rebates!GraduatedRebate</vt:lpstr>
      <vt:lpstr>National_Header</vt:lpstr>
      <vt:lpstr>National_ProductForm</vt:lpstr>
      <vt:lpstr>National_Summary</vt:lpstr>
      <vt:lpstr>Rebates!PluginStatus</vt:lpstr>
      <vt:lpstr>Rebates!TotalPurchase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Robert McNamara</dc:creator>
  <cp:keywords/>
  <dc:description/>
  <cp:lastModifiedBy>Elizabeth Naumann</cp:lastModifiedBy>
  <cp:revision/>
  <dcterms:created xsi:type="dcterms:W3CDTF">2021-09-07T21:38:27Z</dcterms:created>
  <dcterms:modified xsi:type="dcterms:W3CDTF">2022-10-14T18:50:56Z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0x0101003746DD53A9704547929D8108F65BA31E</vt:lpwstr>
  </property>
  <property fmtid="{D5CDD505-2E9C-101B-9397-08002B2CF9AE}" pid="3" name="c2b5fb8256bd435bb7806ac3891e195b">
    <vt:lpwstr>Short-Term|6d967203-8346-4b9c-90f8-b3828a3fa508</vt:lpwstr>
  </property>
  <property fmtid="{D5CDD505-2E9C-101B-9397-08002B2CF9AE}" pid="4" name="DataClassBayerRetention">
    <vt:lpwstr>1;#Short-Term|6d967203-8346-4b9c-90f8-b3828a3fa508</vt:lpwstr>
  </property>
  <property fmtid="{D5CDD505-2E9C-101B-9397-08002B2CF9AE}" pid="5" name="Order">
    <vt:r8>127100</vt:r8>
  </property>
  <property fmtid="{D5CDD505-2E9C-101B-9397-08002B2CF9AE}" pid="6" name="xd_Signature">
    <vt:bool>false</vt:bool>
  </property>
  <property fmtid="{D5CDD505-2E9C-101B-9397-08002B2CF9AE}" pid="7" name="xd_ProgID">
    <vt:lpwstr/>
  </property>
  <property fmtid="{D5CDD505-2E9C-101B-9397-08002B2CF9AE}" pid="8" name="ComplianceAssetId">
    <vt:lpwstr/>
  </property>
  <property fmtid="{D5CDD505-2E9C-101B-9397-08002B2CF9AE}" pid="9" name="TemplateUrl">
    <vt:lpwstr/>
  </property>
  <property fmtid="{D5CDD505-2E9C-101B-9397-08002B2CF9AE}" pid="10" name="_ExtendedDescription">
    <vt:lpwstr/>
  </property>
  <property fmtid="{D5CDD505-2E9C-101B-9397-08002B2CF9AE}" pid="11" name="TriggerFlowInfo">
    <vt:lpwstr/>
  </property>
  <property fmtid="{D5CDD505-2E9C-101B-9397-08002B2CF9AE}" pid="12" name="MSIP_Label_7f850223-87a8-40c3-9eb2-432606efca2a_Enabled">
    <vt:lpwstr>true</vt:lpwstr>
  </property>
  <property fmtid="{D5CDD505-2E9C-101B-9397-08002B2CF9AE}" pid="13" name="MSIP_Label_7f850223-87a8-40c3-9eb2-432606efca2a_SetDate">
    <vt:lpwstr>2022-07-22T15:56:38Z</vt:lpwstr>
  </property>
  <property fmtid="{D5CDD505-2E9C-101B-9397-08002B2CF9AE}" pid="14" name="MSIP_Label_7f850223-87a8-40c3-9eb2-432606efca2a_Method">
    <vt:lpwstr>Privileged</vt:lpwstr>
  </property>
  <property fmtid="{D5CDD505-2E9C-101B-9397-08002B2CF9AE}" pid="15" name="MSIP_Label_7f850223-87a8-40c3-9eb2-432606efca2a_Name">
    <vt:lpwstr>7f850223-87a8-40c3-9eb2-432606efca2a</vt:lpwstr>
  </property>
  <property fmtid="{D5CDD505-2E9C-101B-9397-08002B2CF9AE}" pid="16" name="MSIP_Label_7f850223-87a8-40c3-9eb2-432606efca2a_SiteId">
    <vt:lpwstr>fcb2b37b-5da0-466b-9b83-0014b67a7c78</vt:lpwstr>
  </property>
  <property fmtid="{D5CDD505-2E9C-101B-9397-08002B2CF9AE}" pid="17" name="MSIP_Label_7f850223-87a8-40c3-9eb2-432606efca2a_ActionId">
    <vt:lpwstr>51fffae4-65b7-4d0e-b5e6-c46adae54804</vt:lpwstr>
  </property>
  <property fmtid="{D5CDD505-2E9C-101B-9397-08002B2CF9AE}" pid="18" name="MSIP_Label_7f850223-87a8-40c3-9eb2-432606efca2a_ContentBits">
    <vt:lpwstr>0</vt:lpwstr>
  </property>
  <property fmtid="{D5CDD505-2E9C-101B-9397-08002B2CF9AE}" pid="19" name="IbpWorkbookKeyString_GUID">
    <vt:lpwstr>fb9a5015-a830-4543-b5a3-0ea6c7ebdb8c</vt:lpwstr>
  </property>
</Properties>
</file>